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Onedrive\2208 Banne Duurzaam\Handleiding\2 Stappenplan excel\"/>
    </mc:Choice>
  </mc:AlternateContent>
  <xr:revisionPtr revIDLastSave="0" documentId="8_{0A41E010-536B-4946-894C-DEA893F56013}" xr6:coauthVersionLast="47" xr6:coauthVersionMax="47" xr10:uidLastSave="{00000000-0000-0000-0000-000000000000}"/>
  <workbookProtection workbookAlgorithmName="SHA-512" workbookHashValue="cbvEB4y4TyuxvMwwgLWvr4cjlfwd3SJ9LCdMg0pch1Xo63awLvCQW8i1ld12p3Wzav7HE0rnwVdkT+yQUA3yDw==" workbookSaltValue="58IiSCC1z4w8D4SwDDEDGw==" workbookSpinCount="100000" lockStructure="1"/>
  <bookViews>
    <workbookView xWindow="38280" yWindow="-120" windowWidth="38640" windowHeight="21240" firstSheet="1" activeTab="5" xr2:uid="{F97E4B8D-C305-4CB8-86DA-C2D364B1BC39}"/>
  </bookViews>
  <sheets>
    <sheet name="Mijn Huis" sheetId="4" state="hidden" r:id="rId1"/>
    <sheet name="Colofon" sheetId="9" r:id="rId2"/>
    <sheet name="Regulier Onderhoud" sheetId="2" r:id="rId3"/>
    <sheet name="Blad2" sheetId="6" state="hidden" r:id="rId4"/>
    <sheet name="Uitleg Banne rekentool" sheetId="8" r:id="rId5"/>
    <sheet name="Banne-Rekentool" sheetId="1" r:id="rId6"/>
    <sheet name="PV panelen" sheetId="7" state="hidden" r:id="rId7"/>
    <sheet name="Blad1" sheetId="5" state="hidden" r:id="rId8"/>
    <sheet name="CEL selectors" sheetId="3" state="hidden" r:id="rId9"/>
  </sheets>
  <definedNames>
    <definedName name="_Toc150895833" localSheetId="4">'Uitleg Banne rekentool'!$A$1</definedName>
    <definedName name="_xlnm.Print_Area" localSheetId="5">'Banne-Rekentool'!$A$1:$Q$87</definedName>
    <definedName name="_xlnm.Print_Area" localSheetId="2">'Regulier Onderhoud'!$A$1:$BV$69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1" l="1"/>
  <c r="E30" i="1" l="1"/>
  <c r="AX73" i="1"/>
  <c r="B45" i="7"/>
  <c r="B44" i="7"/>
  <c r="B42" i="7"/>
  <c r="L34" i="7"/>
  <c r="H34" i="7"/>
  <c r="N34" i="7" s="1"/>
  <c r="E18" i="1"/>
  <c r="D18" i="1"/>
  <c r="C39" i="7"/>
  <c r="C36" i="7"/>
  <c r="A34" i="7"/>
  <c r="C33" i="7"/>
  <c r="AV85" i="1"/>
  <c r="AX49" i="1"/>
  <c r="AX29" i="1"/>
  <c r="AX27" i="1"/>
  <c r="AX56" i="1"/>
  <c r="AX40" i="1"/>
  <c r="AX38" i="1"/>
  <c r="AX36" i="1"/>
  <c r="N72" i="1"/>
  <c r="K10" i="1"/>
  <c r="H56" i="1"/>
  <c r="D58" i="1" s="1"/>
  <c r="J12" i="1"/>
  <c r="J13" i="1" s="1"/>
  <c r="I27" i="1"/>
  <c r="K29" i="1" l="1"/>
  <c r="AX80" i="1"/>
  <c r="AU85" i="1"/>
  <c r="K56" i="1"/>
  <c r="J20" i="1"/>
  <c r="I80" i="1"/>
  <c r="A43" i="7" s="1"/>
  <c r="N24" i="7"/>
  <c r="E24" i="7"/>
  <c r="F21" i="5"/>
  <c r="G21" i="5"/>
  <c r="F22" i="5"/>
  <c r="G22" i="5"/>
  <c r="F23" i="5"/>
  <c r="G23" i="5"/>
  <c r="F24" i="5"/>
  <c r="G24" i="5"/>
  <c r="F25" i="5"/>
  <c r="G25" i="5"/>
  <c r="E45" i="5"/>
  <c r="E48" i="5"/>
  <c r="E49" i="5"/>
  <c r="B35" i="7" l="1"/>
  <c r="C11" i="7"/>
  <c r="M22" i="1"/>
  <c r="P3" i="5" l="1"/>
  <c r="M3" i="5"/>
  <c r="R7" i="5"/>
  <c r="R6" i="5"/>
  <c r="R5" i="5"/>
  <c r="R4" i="5"/>
  <c r="R3" i="5"/>
  <c r="O7" i="5"/>
  <c r="O6" i="5"/>
  <c r="O5" i="5"/>
  <c r="O4" i="5"/>
  <c r="O3" i="5"/>
  <c r="Q11" i="5"/>
  <c r="C11" i="5"/>
  <c r="N11" i="5"/>
  <c r="I3" i="5"/>
  <c r="J3" i="5" s="1"/>
  <c r="I7" i="5"/>
  <c r="I6" i="5"/>
  <c r="I5" i="5"/>
  <c r="I4" i="5"/>
  <c r="P7" i="5"/>
  <c r="M7" i="5" s="1"/>
  <c r="M11" i="5" s="1"/>
  <c r="P6" i="5"/>
  <c r="M6" i="5" s="1"/>
  <c r="P5" i="5"/>
  <c r="M5" i="5" s="1"/>
  <c r="P4" i="5"/>
  <c r="M4" i="5" s="1"/>
  <c r="E7" i="5"/>
  <c r="F7" i="5" s="1"/>
  <c r="E6" i="5"/>
  <c r="F6" i="5" s="1"/>
  <c r="E5" i="5"/>
  <c r="F5" i="5" s="1"/>
  <c r="E4" i="5"/>
  <c r="F4" i="5" s="1"/>
  <c r="E3" i="5"/>
  <c r="F3" i="5" s="1"/>
  <c r="W7" i="5"/>
  <c r="W6" i="5"/>
  <c r="W5" i="5"/>
  <c r="W4" i="5"/>
  <c r="W3" i="5"/>
  <c r="V7" i="5"/>
  <c r="H25" i="5" s="1"/>
  <c r="V6" i="5"/>
  <c r="H24" i="5" s="1"/>
  <c r="V5" i="5"/>
  <c r="H23" i="5" s="1"/>
  <c r="V4" i="5"/>
  <c r="H22" i="5" s="1"/>
  <c r="V3" i="5"/>
  <c r="H21" i="5" s="1"/>
  <c r="K38" i="1"/>
  <c r="AX63" i="1"/>
  <c r="AX43" i="1"/>
  <c r="AX34" i="1"/>
  <c r="B19" i="4"/>
  <c r="B13" i="4"/>
  <c r="AX85" i="1" l="1"/>
  <c r="C18" i="7"/>
  <c r="C17" i="7"/>
  <c r="C16" i="7"/>
  <c r="C15" i="7"/>
  <c r="C12" i="7"/>
  <c r="C23" i="7"/>
  <c r="C22" i="7"/>
  <c r="C21" i="7"/>
  <c r="C20" i="7"/>
  <c r="C19" i="7"/>
  <c r="C14" i="7"/>
  <c r="C13" i="7"/>
  <c r="J4" i="5"/>
  <c r="J5" i="5" s="1"/>
  <c r="J6" i="5" s="1"/>
  <c r="J7" i="5" s="1"/>
  <c r="P11" i="5"/>
  <c r="K40" i="1"/>
  <c r="K43" i="1"/>
  <c r="K49" i="1"/>
  <c r="K34" i="1"/>
  <c r="K36" i="1"/>
  <c r="M29" i="1" l="1"/>
  <c r="M34" i="1" s="1"/>
  <c r="M36" i="1" s="1"/>
  <c r="M38" i="1" s="1"/>
  <c r="M40" i="1" s="1"/>
  <c r="M43" i="1" s="1"/>
  <c r="M49" i="1" l="1"/>
  <c r="M64" i="1" s="1"/>
  <c r="B4" i="3" l="1"/>
  <c r="B3" i="3"/>
  <c r="I66" i="1" s="1"/>
  <c r="B5" i="3"/>
  <c r="I73" i="1"/>
  <c r="N73" i="1" s="1"/>
  <c r="P49" i="1"/>
  <c r="L52" i="1" s="1"/>
  <c r="O64" i="1" s="1"/>
  <c r="I71" i="1" l="1"/>
  <c r="N71" i="1" s="1"/>
  <c r="N74" i="1" s="1"/>
  <c r="P52" i="1"/>
  <c r="A33" i="7" l="1"/>
  <c r="E33" i="7" s="1"/>
  <c r="A42" i="7"/>
  <c r="E44" i="7" s="1"/>
  <c r="F11" i="7"/>
  <c r="F21" i="7" s="1"/>
  <c r="H21" i="7" s="1"/>
  <c r="C42" i="7" l="1"/>
  <c r="C45" i="7"/>
  <c r="D45" i="7" s="1"/>
  <c r="C44" i="7"/>
  <c r="D44" i="7" s="1"/>
  <c r="F44" i="7" s="1"/>
  <c r="E45" i="7"/>
  <c r="B34" i="7"/>
  <c r="B36" i="7" s="1"/>
  <c r="E36" i="7" s="1"/>
  <c r="E37" i="7" s="1"/>
  <c r="F22" i="7"/>
  <c r="H22" i="7" s="1"/>
  <c r="F14" i="7"/>
  <c r="H14" i="7" s="1"/>
  <c r="F16" i="7"/>
  <c r="H16" i="7" s="1"/>
  <c r="F23" i="7"/>
  <c r="H23" i="7" s="1"/>
  <c r="F15" i="7"/>
  <c r="H15" i="7" s="1"/>
  <c r="F18" i="7"/>
  <c r="H18" i="7" s="1"/>
  <c r="F17" i="7"/>
  <c r="H17" i="7" s="1"/>
  <c r="F20" i="7"/>
  <c r="H20" i="7" s="1"/>
  <c r="F13" i="7"/>
  <c r="H13" i="7" s="1"/>
  <c r="F19" i="7"/>
  <c r="H19" i="7" s="1"/>
  <c r="F12" i="7"/>
  <c r="H12" i="7" s="1"/>
  <c r="F45" i="7" l="1"/>
  <c r="B39" i="7"/>
  <c r="E39" i="7" s="1"/>
  <c r="E40" i="7" s="1"/>
  <c r="N82" i="1" s="1"/>
  <c r="N83" i="1" s="1"/>
  <c r="H24" i="7"/>
</calcChain>
</file>

<file path=xl/sharedStrings.xml><?xml version="1.0" encoding="utf-8"?>
<sst xmlns="http://schemas.openxmlformats.org/spreadsheetml/2006/main" count="322" uniqueCount="263">
  <si>
    <t>CV-ketel</t>
  </si>
  <si>
    <t>Hier worden alleen zaken getoond die van invloed zijn op het energieverbruik van de woning</t>
  </si>
  <si>
    <t>Levensduur</t>
  </si>
  <si>
    <t>Voegwerk baksteen</t>
  </si>
  <si>
    <t>30 jaar</t>
  </si>
  <si>
    <t>Dakpannen, beton</t>
  </si>
  <si>
    <t>50 jaar</t>
  </si>
  <si>
    <t>Ventilatiebox</t>
  </si>
  <si>
    <t>40  jaar (30-50)</t>
  </si>
  <si>
    <t>40 jaar (35-50)</t>
  </si>
  <si>
    <t>Folie onder dakpannen</t>
  </si>
  <si>
    <t>Dubbel glas</t>
  </si>
  <si>
    <t>25 jaar (20-30)</t>
  </si>
  <si>
    <t>BG voorzijde</t>
  </si>
  <si>
    <t>BG Achterzijde</t>
  </si>
  <si>
    <t>Verdieping Voorzijde</t>
  </si>
  <si>
    <t>Verdieping Achterzijde</t>
  </si>
  <si>
    <t>Nederland CO2 neutraal</t>
  </si>
  <si>
    <t>Banne van het gas af</t>
  </si>
  <si>
    <t>Amsterdam van het gas af</t>
  </si>
  <si>
    <t>Warmtevisie Amsterdam</t>
  </si>
  <si>
    <t>afhankelijk van houtsoort en goed onderhoud</t>
  </si>
  <si>
    <t>50 jaar (40-75)</t>
  </si>
  <si>
    <t>40 jaar</t>
  </si>
  <si>
    <t>geldt ook voor triple glas</t>
  </si>
  <si>
    <t>15 jaar (12-18)</t>
  </si>
  <si>
    <t>20 jaar (15-25)</t>
  </si>
  <si>
    <t>Isolatie onder dakpannen (steenwol)</t>
  </si>
  <si>
    <t>75 jaar</t>
  </si>
  <si>
    <t>30 jaar (folie!)</t>
  </si>
  <si>
    <t>Vloerisolatie</t>
  </si>
  <si>
    <t>30 jaar (lijm laat los)</t>
  </si>
  <si>
    <t>Gevelisolatie (mits goed aangebracht)</t>
  </si>
  <si>
    <t>20 jaar (20-25)</t>
  </si>
  <si>
    <t>25 jaar (20-40)</t>
  </si>
  <si>
    <t>Warmtepomp Lucht</t>
  </si>
  <si>
    <t>15 Jaar (10-20)</t>
  </si>
  <si>
    <t>20 Jaar (15-25)</t>
  </si>
  <si>
    <t>15 jaar</t>
  </si>
  <si>
    <t>Keuken</t>
  </si>
  <si>
    <t>inductiekookplaat</t>
  </si>
  <si>
    <t>10-15 jaar</t>
  </si>
  <si>
    <t xml:space="preserve">Badkamer </t>
  </si>
  <si>
    <t>Mijn woning</t>
  </si>
  <si>
    <t>kWh/m2/jaar</t>
  </si>
  <si>
    <t>kWh/jaar</t>
  </si>
  <si>
    <t>Besparen</t>
  </si>
  <si>
    <t>Stap 1</t>
  </si>
  <si>
    <t>Stap 2</t>
  </si>
  <si>
    <t>Isoleren</t>
  </si>
  <si>
    <t>Dak</t>
  </si>
  <si>
    <t>Vloer</t>
  </si>
  <si>
    <t>Kozijn, ramen, deuren</t>
  </si>
  <si>
    <t>Ramen</t>
  </si>
  <si>
    <t>Ventilatie</t>
  </si>
  <si>
    <t>Warm water</t>
  </si>
  <si>
    <t>Geschikt voor</t>
  </si>
  <si>
    <t>Warmte terugwinning douche</t>
  </si>
  <si>
    <t>m2</t>
  </si>
  <si>
    <t>Totale warmtebehoefte</t>
  </si>
  <si>
    <t>Systeemkeuze</t>
  </si>
  <si>
    <t>Energieverbruik systeem</t>
  </si>
  <si>
    <t>Euro per jaar</t>
  </si>
  <si>
    <t>Electra</t>
  </si>
  <si>
    <t>Warmtepomp water</t>
  </si>
  <si>
    <t>Stadsverwarming</t>
  </si>
  <si>
    <t>Energie produceren</t>
  </si>
  <si>
    <t>Subsidie</t>
  </si>
  <si>
    <t xml:space="preserve">Kozijnen, ramen, deuren, hout </t>
  </si>
  <si>
    <t>Kozijnen, Ramen , Deuren, kunststof</t>
  </si>
  <si>
    <t>Kozijnen, Ramen Deuren, Aluminium</t>
  </si>
  <si>
    <t>Zonneboiler (warm water dmv zon)</t>
  </si>
  <si>
    <t>PV-panelen (elektriciteit dmv zon)</t>
  </si>
  <si>
    <t>Regulier onderhoud met invloed op Energiemaatregelen</t>
  </si>
  <si>
    <t>Bouwmaterialen en inrichting</t>
  </si>
  <si>
    <t>Installaties en Techniek</t>
  </si>
  <si>
    <t>In grijs is de levensduur na bouw aangegeven.  Vul zelf in welke onderdelen vervangen zijn, wanneer, en wanneer deze aan vervanging toe zijn.</t>
  </si>
  <si>
    <t>Dakopbouw (alleen gevel achterzijde)</t>
  </si>
  <si>
    <t>Warmtepomp Water (Verwarm. &amp; Warm w.)</t>
  </si>
  <si>
    <t>Warmtepomp Lucht (Verwarming &amp; Warm .)</t>
  </si>
  <si>
    <t>jaar 1</t>
  </si>
  <si>
    <t>jaar 2</t>
  </si>
  <si>
    <t>jaar 3</t>
  </si>
  <si>
    <t>Gas</t>
  </si>
  <si>
    <t>Grootte</t>
  </si>
  <si>
    <t>Gemiddeld</t>
  </si>
  <si>
    <t xml:space="preserve">Kerntype </t>
  </si>
  <si>
    <t>ja/nee</t>
  </si>
  <si>
    <t>Opbouw</t>
  </si>
  <si>
    <t>CV electrisch</t>
  </si>
  <si>
    <t>CV</t>
  </si>
  <si>
    <t>Energieverbruik</t>
  </si>
  <si>
    <t>Type</t>
  </si>
  <si>
    <t>m3</t>
  </si>
  <si>
    <t>Douchekop Liter/minuut</t>
  </si>
  <si>
    <t>Woninggrootte</t>
  </si>
  <si>
    <t>Warmtebehoefte totaal</t>
  </si>
  <si>
    <t>Warmtebehoefte per m2</t>
  </si>
  <si>
    <t>Zijgevel</t>
  </si>
  <si>
    <t>Correctie</t>
  </si>
  <si>
    <t>euro/kWh</t>
  </si>
  <si>
    <t>Stap 3</t>
  </si>
  <si>
    <t>Stap 4</t>
  </si>
  <si>
    <t>type A alles beter</t>
  </si>
  <si>
    <t>type A alles beter, behalve vent</t>
  </si>
  <si>
    <t>type A glas 2.8 en 5.8</t>
  </si>
  <si>
    <t>W/K</t>
  </si>
  <si>
    <t>kWh/m2</t>
  </si>
  <si>
    <t>a</t>
  </si>
  <si>
    <t>b</t>
  </si>
  <si>
    <t>c</t>
  </si>
  <si>
    <t>b/c</t>
  </si>
  <si>
    <t>d</t>
  </si>
  <si>
    <t>delta</t>
  </si>
  <si>
    <t>(c*a)/b</t>
  </si>
  <si>
    <t>warmte totaal</t>
  </si>
  <si>
    <t>b*d</t>
  </si>
  <si>
    <t>(b*d)/a</t>
  </si>
  <si>
    <t>vermogen</t>
  </si>
  <si>
    <t>Type A glas 2.8</t>
  </si>
  <si>
    <t>Type A huidige staat</t>
  </si>
  <si>
    <t>vermogen/m2</t>
  </si>
  <si>
    <t>netto w.vraag</t>
  </si>
  <si>
    <t>graaddagen</t>
  </si>
  <si>
    <t>e</t>
  </si>
  <si>
    <t>b*e</t>
  </si>
  <si>
    <t>kW</t>
  </si>
  <si>
    <t>kWh</t>
  </si>
  <si>
    <t>in kWh</t>
  </si>
  <si>
    <t>vraag/m2</t>
  </si>
  <si>
    <t>verhouding</t>
  </si>
  <si>
    <t>Kwh/m2</t>
  </si>
  <si>
    <t>Verlies totaal in W/K</t>
  </si>
  <si>
    <t xml:space="preserve">Verlies </t>
  </si>
  <si>
    <t>Nee</t>
  </si>
  <si>
    <t>Grootte buffervat:</t>
  </si>
  <si>
    <t>Liter</t>
  </si>
  <si>
    <t>zuidwest</t>
  </si>
  <si>
    <t>noordoost</t>
  </si>
  <si>
    <t>zuidoost</t>
  </si>
  <si>
    <t>Noordwest</t>
  </si>
  <si>
    <t>Wp</t>
  </si>
  <si>
    <t>noordwest</t>
  </si>
  <si>
    <t>opbrengst panelen per orientatie bij 30 graden</t>
  </si>
  <si>
    <t>opbrengst panelen per maand</t>
  </si>
  <si>
    <t>jan</t>
  </si>
  <si>
    <t>feb</t>
  </si>
  <si>
    <t>mrt</t>
  </si>
  <si>
    <t>apr</t>
  </si>
  <si>
    <t>mei</t>
  </si>
  <si>
    <t>jun</t>
  </si>
  <si>
    <t>jul</t>
  </si>
  <si>
    <t>aug</t>
  </si>
  <si>
    <t>sept</t>
  </si>
  <si>
    <t>okt</t>
  </si>
  <si>
    <t>nov</t>
  </si>
  <si>
    <t>dec</t>
  </si>
  <si>
    <t>verbruik per maand</t>
  </si>
  <si>
    <t>opbrengst</t>
  </si>
  <si>
    <t>verbruik</t>
  </si>
  <si>
    <t>Opbrengst in kWh per Wp</t>
  </si>
  <si>
    <t>PV panelen</t>
  </si>
  <si>
    <t>Aantal</t>
  </si>
  <si>
    <t>Kosten Elektriciteit</t>
  </si>
  <si>
    <t>Verbruik Gas gemiddeld (m3)</t>
  </si>
  <si>
    <t>Warmteterugwinning</t>
  </si>
  <si>
    <t>Kook je al electrisch?</t>
  </si>
  <si>
    <t>besparing per jaar</t>
  </si>
  <si>
    <t>De Banne-Rekentool</t>
  </si>
  <si>
    <t>Vul deze kolom in</t>
  </si>
  <si>
    <t>Kosten Gas</t>
  </si>
  <si>
    <t>Euro/m3</t>
  </si>
  <si>
    <t>Euro per jaar gas</t>
  </si>
  <si>
    <t>Euro per jaar electra</t>
  </si>
  <si>
    <t>Euro totaal per jaar</t>
  </si>
  <si>
    <t>Douchegebruik</t>
  </si>
  <si>
    <t>Weken afwezig per jaar</t>
  </si>
  <si>
    <t>Verbruik Electra gem.  (kWh/jaar)</t>
  </si>
  <si>
    <t>Planning</t>
  </si>
  <si>
    <t>Kosten</t>
  </si>
  <si>
    <t>Kosten per jaar</t>
  </si>
  <si>
    <t>Investering</t>
  </si>
  <si>
    <t>Afschrijvingsperiode in jaren</t>
  </si>
  <si>
    <t>Salderen</t>
  </si>
  <si>
    <t>Terugleververgoeding</t>
  </si>
  <si>
    <t>/kWh Terugleververgoeding</t>
  </si>
  <si>
    <t>Kosten electra 'kaal' met PV</t>
  </si>
  <si>
    <t>Toekomst</t>
  </si>
  <si>
    <t>Verleden</t>
  </si>
  <si>
    <t>Warmwaterverbruik in kWh/jaar</t>
  </si>
  <si>
    <t>Aantal Personen huishouden</t>
  </si>
  <si>
    <t xml:space="preserve">Doucheminuten/dag/persoon </t>
  </si>
  <si>
    <t>Kostenopbouw</t>
  </si>
  <si>
    <t>paneel</t>
  </si>
  <si>
    <t>wp</t>
  </si>
  <si>
    <t>install./wp</t>
  </si>
  <si>
    <t>aantal</t>
  </si>
  <si>
    <t>installatie</t>
  </si>
  <si>
    <t>teruglever</t>
  </si>
  <si>
    <t>A</t>
  </si>
  <si>
    <t>Kosten stadsverwarming</t>
  </si>
  <si>
    <t>Euro/GJ</t>
  </si>
  <si>
    <t>Euro per jaar stadsv.</t>
  </si>
  <si>
    <t>Vastgoedrecht stadverwarming</t>
  </si>
  <si>
    <t>Euro/jaar</t>
  </si>
  <si>
    <t>Euro/Jaar</t>
  </si>
  <si>
    <t>Energiekosten (Inclusief belasting, inschatting netwerkkosten en vastgoedrecht)</t>
  </si>
  <si>
    <r>
      <t>Belasting</t>
    </r>
    <r>
      <rPr>
        <b/>
        <u/>
        <sz val="11"/>
        <color theme="1"/>
        <rFont val="Calibri"/>
        <family val="2"/>
        <scheme val="minor"/>
      </rPr>
      <t>VERMINDERING</t>
    </r>
    <r>
      <rPr>
        <sz val="11"/>
        <color theme="1"/>
        <rFont val="Calibri"/>
        <family val="2"/>
        <scheme val="minor"/>
      </rPr>
      <t xml:space="preserve"> (electra)</t>
    </r>
  </si>
  <si>
    <t xml:space="preserve">vermogen nodig </t>
  </si>
  <si>
    <t>(-10C, ex warm water)</t>
  </si>
  <si>
    <t>Warmtepomp Water</t>
  </si>
  <si>
    <t>Bij stadsverwarming wordt dit er bij opgeteld.</t>
  </si>
  <si>
    <t xml:space="preserve">kW </t>
  </si>
  <si>
    <t>Inleiding</t>
  </si>
  <si>
    <r>
      <t>Het stappenplan gaat uit van drie niveaus van energiebehoefte. Bij elk van deze drie niveaus hoort een bijhorende temperatuur van de drager van deze energiebehoefte en behoefte per m</t>
    </r>
    <r>
      <rPr>
        <vertAlign val="superscript"/>
        <sz val="12"/>
        <color theme="1"/>
        <rFont val="Calibri"/>
        <family val="2"/>
        <scheme val="minor"/>
      </rPr>
      <t>2</t>
    </r>
    <r>
      <rPr>
        <sz val="12"/>
        <color theme="1"/>
        <rFont val="Calibri"/>
        <family val="2"/>
        <scheme val="minor"/>
      </rPr>
      <t>, te weten:</t>
    </r>
  </si>
  <si>
    <r>
      <t>-</t>
    </r>
    <r>
      <rPr>
        <sz val="7"/>
        <color theme="1"/>
        <rFont val="Times New Roman"/>
        <family val="1"/>
      </rPr>
      <t xml:space="preserve">          </t>
    </r>
    <r>
      <rPr>
        <sz val="12"/>
        <color theme="1"/>
        <rFont val="Calibri"/>
        <family val="2"/>
        <scheme val="minor"/>
      </rPr>
      <t>Niveau 1: Hoge temperatuur (90-70 graden) - &gt;90 kWh/m</t>
    </r>
    <r>
      <rPr>
        <vertAlign val="superscript"/>
        <sz val="12"/>
        <color theme="1"/>
        <rFont val="Calibri"/>
        <family val="2"/>
        <scheme val="minor"/>
      </rPr>
      <t>2</t>
    </r>
  </si>
  <si>
    <r>
      <t>-</t>
    </r>
    <r>
      <rPr>
        <sz val="7"/>
        <color theme="1"/>
        <rFont val="Times New Roman"/>
        <family val="1"/>
      </rPr>
      <t xml:space="preserve">          </t>
    </r>
    <r>
      <rPr>
        <sz val="12"/>
        <color theme="1"/>
        <rFont val="Calibri"/>
        <family val="2"/>
        <scheme val="minor"/>
      </rPr>
      <t>Niveau 2: Midden temperatuur (70-45 graden)&gt;50 kWh/m</t>
    </r>
    <r>
      <rPr>
        <vertAlign val="superscript"/>
        <sz val="12"/>
        <color theme="1"/>
        <rFont val="Calibri"/>
        <family val="2"/>
        <scheme val="minor"/>
      </rPr>
      <t>2</t>
    </r>
  </si>
  <si>
    <r>
      <t>-</t>
    </r>
    <r>
      <rPr>
        <sz val="7"/>
        <color theme="1"/>
        <rFont val="Times New Roman"/>
        <family val="1"/>
      </rPr>
      <t xml:space="preserve">          </t>
    </r>
    <r>
      <rPr>
        <sz val="12"/>
        <color theme="1"/>
        <rFont val="Calibri"/>
        <family val="2"/>
        <scheme val="minor"/>
      </rPr>
      <t>Niveau 3: Lage temperatuur (max 55, bij voorkeur &lt;45 graden) &lt;50 kWh/m</t>
    </r>
    <r>
      <rPr>
        <vertAlign val="superscript"/>
        <sz val="12"/>
        <color theme="1"/>
        <rFont val="Calibri"/>
        <family val="2"/>
        <scheme val="minor"/>
      </rPr>
      <t>2</t>
    </r>
  </si>
  <si>
    <t>De energiebehoefte en daaraan gekoppelde temperatuur heeft invloed op de installaties in je woning. Het doel is met behulp van stappenplan per aanpassing aan je woning de invloed op de energiebehoefte inzichtelijk te maken. Op die manier kunnen de toe te passen oplossingen op elkaar afgestemd worden.</t>
  </si>
  <si>
    <t>Minimaal dubbelglas</t>
  </si>
  <si>
    <t>LET OP! De Banne-Rekentool gaat er van uit dat je huis inmiddels is voorzien van ouder dubbelglas. Oorspronkelijk waren de ramen op de eerste verdieping enkel glas, maar dat is vrijwel nergens meer het geval. Met enkel glas krijg je je huis of een kamer daarin alleen met hoge temperatuurverwarming warm als het hard vriest.</t>
  </si>
  <si>
    <t xml:space="preserve">Je kan de rekentool natuurlijk nog wel gebruiken, maar de vraag of je je huis in alle gevallen goed warm krijgt, en of het gekozen systeem afdoende is, wordt lastiger te beantwoorden. Als je een deel van je huis heel goed hebt geïsoleerd en een ander deel heel slecht, dan is de interactie onvoorspelbaar. Het rekenmodel kan daar niet voor compenseren. </t>
  </si>
  <si>
    <t>Al van het gas af?</t>
  </si>
  <si>
    <t>Dan heeft de rekentool ook minder zin. Des te meer je aan je huis hebt gedaan, des te minder goed de rekentool kan voorspellen wat een extra ingreep voor je kan betekenen. Dat komt onder andere omdat je dan al meer van het gemiddelde gebruik afwijkt, waarmee de foutmarge wordt vergroot. Ook wordt je persoonlijke gebruik van grotere invloed. Het model compenseert daar wel voor met de correctie op basis van je daadwerkelijke gebruik, maar dat verbruik wordt ook beïnvloed door strenge winters, een jaar dat je vaker en langer van huis bent, wijzigingen in gezinssamenstelling, etc.</t>
  </si>
  <si>
    <t>Stap 1, uw woning</t>
  </si>
  <si>
    <t>In stap 1 maak je zelf inzichtelijk wat je persoonlijke energiebehoefte is en in hoeverre jouw woning afwijkt van de kengetallen. Deze afwijkingen kunnen ontstaan door verschillen in huishouding of persoonlijke voorkeuren, maar ook door verbouwingen en aanpassingen die al zijn uitgevoerd en die van invloed zijn op je energiebehoefte.</t>
  </si>
  <si>
    <t xml:space="preserve">Bij de energiebehoefte en grootte van de installatie hoort ook warm watergebruik, vandaar dat je hier ook de grootte van je gezin, de douchetijd en het aantal liter per minuut moet invullen. We maken hierbij onderscheid tussen verleden en toekomst. Vul deze zo accuraat mogelijk in. </t>
  </si>
  <si>
    <t>Het verleden wordt hier gebruikt om de warmtebehoefte van je woning zo goed mogelijk in te schatten, en toekomst omdat je vanwege de energiecrisis waarschijnlijk meer rekening wil houden wil houden met hogere energieprijzen en bewuster bent of wilt gaan douchen en bijvoorbeeld  een waterbesparende douchekop wil installeren. Als je niets wil veranderen houd je beide hetzelfde.</t>
  </si>
  <si>
    <t>Stap 2, de aanpassingen</t>
  </si>
  <si>
    <t>In stap 2 worden de verschillende aanpassingen aan jouw woning in beeld gebracht en het effect op je energiebehoefte inzichtelijk gemaakt. Hier wordt duidelijk tot welk niveau energiebehoefte de woning behoort, en welke installaties daarvoor geschikt zijn.</t>
  </si>
  <si>
    <t>Gebruik hiervoor de tabellen die bij de ingreep horen. In de tabel kan je de energiebesparing herleiden die bij de ingreep en het woningtype hoort. Vul de resulterende energiebesparing in in de tool. Op basis van je gemiddelde werkelijke gebruik wordt vervolgens automatisch een correctie uitgevoerd die de energiebesparing beter laat kloppen met de werkelijke situatie en je gebruik. Des te beter je opgegeven gemiddelde is, des te nauwkeuriger de besparing kan worden weergegeven.</t>
  </si>
  <si>
    <t>Stap 3, de systeemkeuze</t>
  </si>
  <si>
    <t>Uit de aanpassingen volgen de mogelijkheden voor een keuze voor een warmtesysteem. Belangrijk is vooral de vraag of je gebruik kan maken van lage temperatuur verwarming met een warmtepomp. Welke soort is minder belangrijk. Op basis van de keuze ‘warmtepomp’ wordt er vervolgens een inschatting gemaakt met een COP van 3,5 bij een warmtepomp op basis van lucht en 4,5 bij een warmtepomp op basis van vloeistof, zodat er ook een inschatting ontstaat over hoeveel het elektriciteitsverbruik stijgt als je overstapt op een warmtepomp.</t>
  </si>
  <si>
    <r>
      <t>Op basis van het energieverbruik in kW/m</t>
    </r>
    <r>
      <rPr>
        <vertAlign val="superscript"/>
        <sz val="12"/>
        <color theme="1"/>
        <rFont val="Calibri"/>
        <family val="2"/>
        <scheme val="minor"/>
      </rPr>
      <t>2</t>
    </r>
    <r>
      <rPr>
        <sz val="12"/>
        <color theme="1"/>
        <rFont val="Calibri"/>
        <family val="2"/>
        <scheme val="minor"/>
      </rPr>
      <t xml:space="preserve"> wordt ook aangegeven wat het benodigde totale vermogen in kW van het systeem moet zijn. L</t>
    </r>
    <r>
      <rPr>
        <b/>
        <sz val="12"/>
        <color theme="1"/>
        <rFont val="Calibri"/>
        <family val="2"/>
        <scheme val="minor"/>
      </rPr>
      <t>ET OP! Dit vermogen moet geleverd worden als het -10 graden vriest!!! Het vermogen kan door fabrikanten worden opgegeven bij andere (meer gunstige) temperaturen!</t>
    </r>
    <r>
      <rPr>
        <sz val="12"/>
        <color theme="1"/>
        <rFont val="Calibri"/>
        <family val="2"/>
        <scheme val="minor"/>
      </rPr>
      <t xml:space="preserve"> Let hier op bij de systeemkeuze.</t>
    </r>
  </si>
  <si>
    <t>Belastingen en vastgoedrecht</t>
  </si>
  <si>
    <t>Omdat er bij de keuze voor een warmtesysteem veel afhangt van vaste kosten en eventuele belastingvermindering kan je die factoren ook inschatten en hier opgeven. De belastingvermindering wordt hierbij van het totaal afgetrokken. Omdat bij stadsverwarming de vaste kosten in de vorm van vastgoedrecht hoog zijn kan je die her ook opgeven. Dit wordt alleen bij het totaal opgeteld als de systeemkeuze stadsverwarming is.</t>
  </si>
  <si>
    <t>let op! Dit bedrag wordt van het totaal afgehaald.</t>
  </si>
  <si>
    <t>Stap 4, energie opwekken</t>
  </si>
  <si>
    <r>
      <t>Stap 1:</t>
    </r>
    <r>
      <rPr>
        <sz val="12"/>
        <color theme="1"/>
        <rFont val="Calibri"/>
        <family val="2"/>
        <scheme val="minor"/>
      </rPr>
      <t xml:space="preserve"> gebruik de kaart op uit hoofdstuk ‘waar staat mijn woning’ om de oriëntatie per dakvlak te bepalen</t>
    </r>
  </si>
  <si>
    <r>
      <t>Stap 2:</t>
    </r>
    <r>
      <rPr>
        <sz val="12"/>
        <color theme="1"/>
        <rFont val="Calibri"/>
        <family val="2"/>
        <scheme val="minor"/>
      </rPr>
      <t xml:space="preserve"> bepaal de opbrengst in kWh per Wp. Gebruikelijk is 0,85 tot 0,9. Vraag eventueel de installateur.</t>
    </r>
  </si>
  <si>
    <r>
      <t>Stap 3:</t>
    </r>
    <r>
      <rPr>
        <sz val="12"/>
        <color theme="1"/>
        <rFont val="Calibri"/>
        <family val="2"/>
        <scheme val="minor"/>
      </rPr>
      <t xml:space="preserve"> Geef het aantal panelen en de Wp aan per oriëntatie.</t>
    </r>
  </si>
  <si>
    <t xml:space="preserve">Naar alle waarschijnlijkheid is er na 2030 alleen een terugleververgoeding. Op dit ogenblik is er ten gevolgde van het afbouwen van de salderingsregeling veel onzekerheid in de markt, en lopen de aanvragen bij installateurs van PV panelen terug. </t>
  </si>
  <si>
    <r>
      <t xml:space="preserve">Het afbouwen van de salderingsregeling met je energieleverancier is minder gunstig omdat je in de zomer veel elektriciteit opwekt en in de winter juist veel gebruikt. Het betekend echter niet dat je je niet meer kan salderen; als je opgewekte energie direct gebruikt ben je nog steeds aan het salderen. </t>
    </r>
    <r>
      <rPr>
        <b/>
        <sz val="12"/>
        <color theme="1"/>
        <rFont val="Calibri"/>
        <family val="2"/>
        <scheme val="minor"/>
      </rPr>
      <t>LET OP! Als je al PV-panelen hebt en deze in de berekening wil meenemen: Zoek dan het BRUTO verbruik van je elektriciteit op! Dit is je daadwerkelijke verbruik; dus ook het verbruik dat plaatsvindt terwijl je ook aan het opwekken bent.</t>
    </r>
    <r>
      <rPr>
        <sz val="12"/>
        <color theme="1"/>
        <rFont val="Calibri"/>
        <family val="2"/>
        <scheme val="minor"/>
      </rPr>
      <t xml:space="preserve"> Vul dat in bij je verbruik bij stap 1.</t>
    </r>
  </si>
  <si>
    <t>Disclaimer</t>
  </si>
  <si>
    <t>Deze rekentool is met de grootst mogelijke zorgvuldigheid samengesteld. Toch kunnen er fouten in staan. De samenstellers en de belangenvereniging Banne Waterkant zijn niet aansprakelijk voor het gebruik van deze tool en de eventuele gevolgen daarvan.</t>
  </si>
  <si>
    <t>Ir. R. van Houten</t>
  </si>
  <si>
    <t>o4Rb.tech</t>
  </si>
  <si>
    <t>Grasweg 69</t>
  </si>
  <si>
    <t>1031 HX Amsterdam</t>
  </si>
  <si>
    <t>www.o4Rb.tech</t>
  </si>
  <si>
    <t>Deze handleiding en de bijbehorende Banne-Rekentool is ontwikkeld, samengesteld en geschreven door:</t>
  </si>
  <si>
    <t>Deze rekentool is onderdeel van "Banne Beter, handleiding duurzaamverbouwen voor huidige en toekomstige bewoners van Banne Waterkant", en in beheer bij de belangenvereniging Banne Waterkant.</t>
  </si>
  <si>
    <t>B</t>
  </si>
  <si>
    <t>C</t>
  </si>
  <si>
    <t>D</t>
  </si>
  <si>
    <t xml:space="preserve">Kierdichting:  </t>
  </si>
  <si>
    <t>Met dakrenovatie:</t>
  </si>
  <si>
    <r>
      <t xml:space="preserve">Voer alleen aanpassingen op die je nog gaat doen. </t>
    </r>
    <r>
      <rPr>
        <sz val="12"/>
        <color theme="1"/>
        <rFont val="Calibri"/>
        <family val="2"/>
        <scheme val="minor"/>
      </rPr>
      <t xml:space="preserve">Heb je een aanpassing al eerder uitgevoerd, en heb je al een meerjarig gemiddelde van je verbruik met de aanpassing, voer dan niet alsnog de aanpassing in de rekentool op. Het minderverbruik door de eerder gedane aanpassing zal tot uitdrukking komen in het verschil ten opzichte van de wijk en in de rekentool worden gecorrigeerd met de correctiefactor. </t>
    </r>
  </si>
  <si>
    <t xml:space="preserve">Als je toch graag wil weten wat het effect is tussen een gedane aanpassing en een betere aanpassing dan kan je het verschil tussen de twee aanpassingen uit de tabel opmaken en dat getal opvoeren. Bijvoorbeeld als je al vloerisolatie hebt en dat met een extra aanpassing nog verder verbeterd. </t>
  </si>
  <si>
    <t>Zet kierdichting alleen op Ja als je kwetsbare plekken hebt verbeterd. Als je er van overtuigd bent dat de kierdichting al beter is, bijvoorbeeld omdat je al je ramen al hebt aangepast, een nieuwe voordeur hebt en een dakopbouw, laat dan de kierdichting achterwege. Dakrenovatie vooer je alleen op als je de dak hebt verbeterd.</t>
  </si>
  <si>
    <r>
      <rPr>
        <b/>
        <sz val="12"/>
        <color theme="1"/>
        <rFont val="Calibri"/>
        <family val="2"/>
        <scheme val="minor"/>
      </rPr>
      <t>Kierdichting</t>
    </r>
    <r>
      <rPr>
        <sz val="12"/>
        <color theme="1"/>
        <rFont val="Calibri"/>
        <family val="2"/>
        <scheme val="minor"/>
      </rPr>
      <t xml:space="preserve">
Kierdichting kan je opgeven met en zonder dakrenovatie. Zonder dakrenovatie wordt uitgegaan van een qV10=1,5, met dakrenovatie van een qV10=1,0. Het verschil in infiltratie op de energiebehoefte ten opzichte van de oorspronkelijke woning wordt meegenomen met de correctie op basis van het eigen verbruik. </t>
    </r>
  </si>
  <si>
    <r>
      <t xml:space="preserve">LET OP: Bij de keuze voor warmterugwinning uit ventilatie wordt uitgegaan van een qV10=1,0! </t>
    </r>
    <r>
      <rPr>
        <sz val="12"/>
        <color theme="1"/>
        <rFont val="Calibri"/>
        <family val="2"/>
        <scheme val="minor"/>
      </rPr>
      <t xml:space="preserve">Anders heeft het minder zin. Het verschil ten opzichte van mechanische ventilatie wordt weergegeven met een kierdichting qV10=1.0. Pas warmteterugwinning uit ventilatie in de Banne-Rekentool dus alleen toe als je kierdichting en dakrenovatie hebt doorgevoerd. </t>
    </r>
  </si>
  <si>
    <t>Tuingevel/voorgevel type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</si>
</sst>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 #,##0_ ;_ &quot;€&quot;\ * \-#,##0_ ;_ &quot;€&quot;\ * &quot;-&quot;_ ;_ @_ "/>
    <numFmt numFmtId="44" formatCode="_ &quot;€&quot;\ * #,##0.00_ ;_ &quot;€&quot;\ * \-#,##0.00_ ;_ &quot;€&quot;\ * &quot;-&quot;??_ ;_ @_ "/>
    <numFmt numFmtId="164" formatCode="&quot;€&quot;\ #,##0.00"/>
    <numFmt numFmtId="165" formatCode="0.0"/>
  </numFmts>
  <fonts count="34" x14ac:knownFonts="1">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sz val="8"/>
      <color theme="1"/>
      <name val="Calibri"/>
      <family val="2"/>
      <scheme val="minor"/>
    </font>
    <font>
      <i/>
      <sz val="11"/>
      <color theme="1"/>
      <name val="Calibri"/>
      <family val="2"/>
      <scheme val="minor"/>
    </font>
    <font>
      <b/>
      <sz val="24"/>
      <color theme="1"/>
      <name val="Calibri"/>
      <family val="2"/>
      <scheme val="minor"/>
    </font>
    <font>
      <sz val="10"/>
      <color theme="1"/>
      <name val="Calibri"/>
      <family val="2"/>
      <scheme val="minor"/>
    </font>
    <font>
      <b/>
      <sz val="13"/>
      <color theme="1"/>
      <name val="Calibri"/>
      <family val="2"/>
      <scheme val="minor"/>
    </font>
    <font>
      <b/>
      <sz val="11"/>
      <color rgb="FFC00000"/>
      <name val="Calibri"/>
      <family val="2"/>
      <scheme val="minor"/>
    </font>
    <font>
      <b/>
      <sz val="12"/>
      <color theme="1"/>
      <name val="Calibri"/>
      <family val="2"/>
      <scheme val="minor"/>
    </font>
    <font>
      <b/>
      <sz val="15"/>
      <color rgb="FFC00000"/>
      <name val="Calibri"/>
      <family val="2"/>
      <scheme val="minor"/>
    </font>
    <font>
      <b/>
      <sz val="34"/>
      <color theme="1"/>
      <name val="Calibri"/>
      <family val="2"/>
      <scheme val="minor"/>
    </font>
    <font>
      <b/>
      <sz val="14"/>
      <color theme="1"/>
      <name val="Calibri"/>
      <family val="2"/>
      <scheme val="minor"/>
    </font>
    <font>
      <b/>
      <sz val="8"/>
      <color theme="1"/>
      <name val="Calibri"/>
      <family val="2"/>
      <scheme val="minor"/>
    </font>
    <font>
      <b/>
      <sz val="16"/>
      <color theme="1"/>
      <name val="Calibri"/>
      <family val="2"/>
      <scheme val="minor"/>
    </font>
    <font>
      <b/>
      <sz val="11"/>
      <name val="Calibri"/>
      <family val="2"/>
      <scheme val="minor"/>
    </font>
    <font>
      <b/>
      <sz val="11"/>
      <color rgb="FFFF0000"/>
      <name val="Calibri"/>
      <family val="2"/>
      <scheme val="minor"/>
    </font>
    <font>
      <sz val="8"/>
      <color theme="0" tint="-4.9989318521683403E-2"/>
      <name val="Calibri"/>
      <family val="2"/>
      <scheme val="minor"/>
    </font>
    <font>
      <b/>
      <sz val="15"/>
      <color theme="1"/>
      <name val="Calibri"/>
      <family val="2"/>
      <scheme val="minor"/>
    </font>
    <font>
      <b/>
      <sz val="12"/>
      <color rgb="FFC00000"/>
      <name val="Calibri"/>
      <family val="2"/>
      <scheme val="minor"/>
    </font>
    <font>
      <sz val="16"/>
      <color theme="1"/>
      <name val="Calibri"/>
      <family val="2"/>
      <scheme val="minor"/>
    </font>
    <font>
      <b/>
      <sz val="11"/>
      <color theme="5" tint="0.59999389629810485"/>
      <name val="Calibri"/>
      <family val="2"/>
      <scheme val="minor"/>
    </font>
    <font>
      <b/>
      <u/>
      <sz val="11"/>
      <color theme="1"/>
      <name val="Calibri"/>
      <family val="2"/>
      <scheme val="minor"/>
    </font>
    <font>
      <sz val="12"/>
      <color theme="1"/>
      <name val="Calibri"/>
      <family val="2"/>
      <scheme val="minor"/>
    </font>
    <font>
      <b/>
      <sz val="12"/>
      <color theme="9" tint="0.79998168889431442"/>
      <name val="Calibri"/>
      <family val="2"/>
      <scheme val="minor"/>
    </font>
    <font>
      <b/>
      <sz val="23"/>
      <color rgb="FF2F5496"/>
      <name val="Calibri Light"/>
      <family val="2"/>
    </font>
    <font>
      <sz val="16"/>
      <color rgb="FF404040"/>
      <name val="Calibri Light"/>
      <family val="2"/>
    </font>
    <font>
      <vertAlign val="superscript"/>
      <sz val="12"/>
      <color theme="1"/>
      <name val="Calibri"/>
      <family val="2"/>
      <scheme val="minor"/>
    </font>
    <font>
      <sz val="7"/>
      <color theme="1"/>
      <name val="Times New Roman"/>
      <family val="1"/>
    </font>
    <font>
      <sz val="16"/>
      <color rgb="FF595959"/>
      <name val="Calibri Light"/>
      <family val="2"/>
    </font>
    <font>
      <sz val="11"/>
      <color theme="0" tint="-4.9989318521683403E-2"/>
      <name val="Calibri"/>
      <family val="2"/>
      <scheme val="minor"/>
    </font>
    <font>
      <b/>
      <sz val="11"/>
      <color theme="0" tint="-4.9989318521683403E-2"/>
      <name val="Calibri"/>
      <family val="2"/>
      <scheme val="minor"/>
    </font>
    <font>
      <sz val="10"/>
      <color theme="8" tint="0.79998168889431442"/>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bgColor indexed="64"/>
      </patternFill>
    </fill>
  </fills>
  <borders count="4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ck">
        <color auto="1"/>
      </right>
      <top/>
      <bottom/>
      <diagonal/>
    </border>
    <border>
      <left style="thin">
        <color indexed="64"/>
      </left>
      <right style="thick">
        <color auto="1"/>
      </right>
      <top style="thin">
        <color indexed="64"/>
      </top>
      <bottom style="thin">
        <color indexed="64"/>
      </bottom>
      <diagonal/>
    </border>
    <border>
      <left style="thin">
        <color indexed="64"/>
      </left>
      <right style="thick">
        <color auto="1"/>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ck">
        <color auto="1"/>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style="thick">
        <color auto="1"/>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thick">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cellStyleXfs>
  <cellXfs count="245">
    <xf numFmtId="0" fontId="0" fillId="0" borderId="0" xfId="0"/>
    <xf numFmtId="0" fontId="3" fillId="0" borderId="0" xfId="0" applyFont="1"/>
    <xf numFmtId="0" fontId="0" fillId="0" borderId="0" xfId="0" applyAlignment="1">
      <alignment textRotation="90"/>
    </xf>
    <xf numFmtId="0" fontId="4" fillId="0" borderId="0" xfId="0" applyFont="1"/>
    <xf numFmtId="0" fontId="2" fillId="0" borderId="0" xfId="0" applyFont="1" applyAlignment="1">
      <alignment textRotation="90"/>
    </xf>
    <xf numFmtId="0" fontId="4" fillId="0" borderId="2" xfId="0" applyFont="1" applyBorder="1"/>
    <xf numFmtId="0" fontId="0" fillId="0" borderId="2" xfId="0" applyBorder="1"/>
    <xf numFmtId="0" fontId="0" fillId="3" borderId="2" xfId="0" applyFill="1" applyBorder="1"/>
    <xf numFmtId="0" fontId="5" fillId="0" borderId="2" xfId="0" applyFont="1" applyBorder="1" applyAlignment="1">
      <alignment horizontal="right"/>
    </xf>
    <xf numFmtId="0" fontId="0" fillId="2" borderId="2" xfId="0" applyFill="1" applyBorder="1"/>
    <xf numFmtId="0" fontId="0" fillId="0" borderId="3" xfId="0" applyBorder="1"/>
    <xf numFmtId="0" fontId="0" fillId="3" borderId="3" xfId="0" applyFill="1" applyBorder="1"/>
    <xf numFmtId="0" fontId="0" fillId="0" borderId="4" xfId="0" applyBorder="1"/>
    <xf numFmtId="0" fontId="2" fillId="0" borderId="5" xfId="0" applyFont="1" applyBorder="1" applyAlignment="1">
      <alignment textRotation="90"/>
    </xf>
    <xf numFmtId="0" fontId="0" fillId="0" borderId="6" xfId="0" applyBorder="1"/>
    <xf numFmtId="0" fontId="0" fillId="3" borderId="6" xfId="0" applyFill="1" applyBorder="1"/>
    <xf numFmtId="0" fontId="0" fillId="0" borderId="8" xfId="0" applyBorder="1"/>
    <xf numFmtId="0" fontId="0" fillId="0" borderId="9" xfId="0" applyBorder="1"/>
    <xf numFmtId="0" fontId="0" fillId="0" borderId="10" xfId="0" applyBorder="1"/>
    <xf numFmtId="0" fontId="4" fillId="0" borderId="11" xfId="0" applyFont="1" applyBorder="1" applyAlignment="1">
      <alignment textRotation="90"/>
    </xf>
    <xf numFmtId="0" fontId="4" fillId="0" borderId="7" xfId="0" applyFont="1" applyBorder="1" applyAlignment="1">
      <alignment textRotation="90"/>
    </xf>
    <xf numFmtId="0" fontId="4" fillId="0" borderId="12" xfId="0" applyFont="1" applyBorder="1" applyAlignment="1">
      <alignment textRotation="90"/>
    </xf>
    <xf numFmtId="0" fontId="0" fillId="2" borderId="3" xfId="0" applyFill="1" applyBorder="1"/>
    <xf numFmtId="0" fontId="1" fillId="0" borderId="4" xfId="0" applyFont="1" applyBorder="1"/>
    <xf numFmtId="0" fontId="0" fillId="0" borderId="2" xfId="0" applyBorder="1" applyAlignment="1">
      <alignment horizontal="right"/>
    </xf>
    <xf numFmtId="0" fontId="6" fillId="0" borderId="0" xfId="0" applyFont="1"/>
    <xf numFmtId="0" fontId="7" fillId="0" borderId="0" xfId="0" applyFont="1"/>
    <xf numFmtId="0" fontId="8" fillId="0" borderId="0" xfId="0" applyFont="1"/>
    <xf numFmtId="0" fontId="0" fillId="4" borderId="0" xfId="0" applyFill="1"/>
    <xf numFmtId="0" fontId="4" fillId="4" borderId="0" xfId="0" applyFont="1" applyFill="1"/>
    <xf numFmtId="0" fontId="4" fillId="4" borderId="0" xfId="0" applyFont="1" applyFill="1" applyAlignment="1">
      <alignment vertical="top"/>
    </xf>
    <xf numFmtId="0" fontId="0" fillId="4" borderId="0" xfId="0" applyFill="1" applyAlignment="1">
      <alignment horizontal="right"/>
    </xf>
    <xf numFmtId="0" fontId="10" fillId="4" borderId="0" xfId="0" applyFont="1" applyFill="1"/>
    <xf numFmtId="0" fontId="11" fillId="0" borderId="13" xfId="0" applyFont="1" applyBorder="1"/>
    <xf numFmtId="1" fontId="0" fillId="4" borderId="0" xfId="0" applyNumberFormat="1" applyFill="1"/>
    <xf numFmtId="0" fontId="2" fillId="5" borderId="0" xfId="0" applyFont="1" applyFill="1"/>
    <xf numFmtId="0" fontId="0" fillId="5" borderId="0" xfId="0" applyFill="1"/>
    <xf numFmtId="1" fontId="9" fillId="5" borderId="13" xfId="0" applyNumberFormat="1" applyFont="1" applyFill="1" applyBorder="1"/>
    <xf numFmtId="0" fontId="4" fillId="5" borderId="0" xfId="0" applyFont="1" applyFill="1" applyAlignment="1">
      <alignment vertical="top"/>
    </xf>
    <xf numFmtId="0" fontId="0" fillId="5" borderId="0" xfId="0" applyFill="1" applyAlignment="1">
      <alignment horizontal="right"/>
    </xf>
    <xf numFmtId="0" fontId="0" fillId="6" borderId="0" xfId="0" applyFill="1"/>
    <xf numFmtId="44" fontId="0" fillId="0" borderId="0" xfId="0" applyNumberFormat="1" applyAlignment="1">
      <alignment textRotation="90"/>
    </xf>
    <xf numFmtId="44" fontId="0" fillId="0" borderId="0" xfId="0" applyNumberFormat="1"/>
    <xf numFmtId="164" fontId="0" fillId="0" borderId="0" xfId="0" applyNumberFormat="1"/>
    <xf numFmtId="164" fontId="8" fillId="0" borderId="0" xfId="0" applyNumberFormat="1" applyFont="1"/>
    <xf numFmtId="0" fontId="12" fillId="0" borderId="0" xfId="0" applyFont="1" applyAlignment="1">
      <alignment vertical="top"/>
    </xf>
    <xf numFmtId="0" fontId="2" fillId="0" borderId="1" xfId="0" applyFont="1" applyBorder="1"/>
    <xf numFmtId="164" fontId="2" fillId="0" borderId="1" xfId="0" applyNumberFormat="1" applyFont="1" applyBorder="1"/>
    <xf numFmtId="164" fontId="8" fillId="0" borderId="1" xfId="0" applyNumberFormat="1" applyFont="1" applyBorder="1"/>
    <xf numFmtId="44" fontId="2" fillId="0" borderId="1" xfId="0" applyNumberFormat="1" applyFont="1" applyBorder="1"/>
    <xf numFmtId="164" fontId="2" fillId="0" borderId="14" xfId="0" applyNumberFormat="1" applyFont="1" applyBorder="1"/>
    <xf numFmtId="0" fontId="2" fillId="0" borderId="14" xfId="0" applyFont="1" applyBorder="1"/>
    <xf numFmtId="0" fontId="13" fillId="0" borderId="2" xfId="0" applyFont="1" applyBorder="1"/>
    <xf numFmtId="0" fontId="13" fillId="0" borderId="2" xfId="0" applyFont="1" applyBorder="1" applyAlignment="1">
      <alignment horizontal="left"/>
    </xf>
    <xf numFmtId="0" fontId="4" fillId="0" borderId="17" xfId="0" applyFont="1" applyBorder="1" applyAlignment="1">
      <alignment horizontal="center" vertical="center" wrapText="1"/>
    </xf>
    <xf numFmtId="0" fontId="2" fillId="4" borderId="0" xfId="0" applyFont="1" applyFill="1"/>
    <xf numFmtId="0" fontId="0" fillId="0" borderId="0" xfId="0" applyAlignment="1">
      <alignment horizontal="right"/>
    </xf>
    <xf numFmtId="0" fontId="2" fillId="0" borderId="0" xfId="0" applyFont="1"/>
    <xf numFmtId="1" fontId="2" fillId="4" borderId="2" xfId="0" applyNumberFormat="1" applyFont="1" applyFill="1" applyBorder="1"/>
    <xf numFmtId="0" fontId="0" fillId="4" borderId="0" xfId="0" applyFill="1" applyAlignment="1">
      <alignment horizontal="left"/>
    </xf>
    <xf numFmtId="0" fontId="0" fillId="2" borderId="0" xfId="0" applyFill="1"/>
    <xf numFmtId="0" fontId="8" fillId="2" borderId="0" xfId="0" applyFont="1" applyFill="1"/>
    <xf numFmtId="0" fontId="2" fillId="2" borderId="0" xfId="0" applyFont="1" applyFill="1"/>
    <xf numFmtId="0" fontId="0" fillId="2" borderId="0" xfId="0" applyFill="1" applyAlignment="1">
      <alignment horizontal="center"/>
    </xf>
    <xf numFmtId="0" fontId="0" fillId="2" borderId="0" xfId="0" applyFill="1" applyAlignment="1">
      <alignment horizontal="left"/>
    </xf>
    <xf numFmtId="0" fontId="4" fillId="2" borderId="0" xfId="0" applyFont="1" applyFill="1"/>
    <xf numFmtId="0" fontId="14" fillId="2" borderId="0" xfId="0" applyFont="1" applyFill="1"/>
    <xf numFmtId="0" fontId="10" fillId="5" borderId="0" xfId="0" applyFont="1" applyFill="1"/>
    <xf numFmtId="0" fontId="13" fillId="6" borderId="0" xfId="0" applyFont="1" applyFill="1"/>
    <xf numFmtId="0" fontId="13" fillId="5" borderId="0" xfId="0" applyFont="1" applyFill="1"/>
    <xf numFmtId="1" fontId="0" fillId="0" borderId="0" xfId="0" applyNumberFormat="1"/>
    <xf numFmtId="1" fontId="9" fillId="6" borderId="13" xfId="0" applyNumberFormat="1" applyFont="1" applyFill="1" applyBorder="1"/>
    <xf numFmtId="0" fontId="2" fillId="2" borderId="0" xfId="0" applyFont="1" applyFill="1" applyAlignment="1">
      <alignment horizontal="left"/>
    </xf>
    <xf numFmtId="0" fontId="2" fillId="0" borderId="0" xfId="0" applyFont="1" applyAlignment="1">
      <alignment horizontal="right"/>
    </xf>
    <xf numFmtId="10" fontId="0" fillId="0" borderId="0" xfId="0" applyNumberFormat="1"/>
    <xf numFmtId="1" fontId="1" fillId="5" borderId="0" xfId="0" applyNumberFormat="1" applyFont="1" applyFill="1"/>
    <xf numFmtId="0" fontId="0" fillId="5" borderId="0" xfId="0" applyFill="1" applyAlignment="1">
      <alignment horizontal="left"/>
    </xf>
    <xf numFmtId="1" fontId="17" fillId="5" borderId="13" xfId="0" applyNumberFormat="1" applyFont="1" applyFill="1" applyBorder="1"/>
    <xf numFmtId="1" fontId="1" fillId="0" borderId="0" xfId="0" applyNumberFormat="1" applyFont="1"/>
    <xf numFmtId="0" fontId="0" fillId="2" borderId="0" xfId="0" applyFill="1" applyAlignment="1">
      <alignment horizontal="center" vertical="top"/>
    </xf>
    <xf numFmtId="0" fontId="18" fillId="2" borderId="0" xfId="0" applyFont="1" applyFill="1"/>
    <xf numFmtId="0" fontId="2" fillId="2" borderId="0" xfId="0" applyFont="1" applyFill="1" applyAlignment="1">
      <alignment horizontal="center"/>
    </xf>
    <xf numFmtId="1" fontId="2" fillId="2" borderId="0" xfId="0" applyNumberFormat="1" applyFont="1" applyFill="1"/>
    <xf numFmtId="0" fontId="10" fillId="6" borderId="0" xfId="0" applyFont="1" applyFill="1"/>
    <xf numFmtId="0" fontId="0" fillId="2" borderId="23" xfId="0" applyFill="1" applyBorder="1"/>
    <xf numFmtId="0" fontId="0" fillId="2" borderId="5" xfId="0" applyFill="1" applyBorder="1"/>
    <xf numFmtId="0" fontId="8" fillId="2" borderId="23" xfId="0" applyFont="1" applyFill="1" applyBorder="1"/>
    <xf numFmtId="0" fontId="8" fillId="2" borderId="5" xfId="0" applyFont="1" applyFill="1" applyBorder="1"/>
    <xf numFmtId="0" fontId="0" fillId="2" borderId="5" xfId="0" applyFill="1" applyBorder="1" applyAlignment="1">
      <alignment horizontal="center"/>
    </xf>
    <xf numFmtId="0" fontId="0" fillId="2" borderId="5" xfId="0" applyFill="1" applyBorder="1" applyAlignment="1">
      <alignment horizontal="left"/>
    </xf>
    <xf numFmtId="0" fontId="0" fillId="2" borderId="5" xfId="0" applyFill="1" applyBorder="1" applyAlignment="1">
      <alignment horizontal="center" vertical="top"/>
    </xf>
    <xf numFmtId="0" fontId="0" fillId="0" borderId="23" xfId="0" applyBorder="1"/>
    <xf numFmtId="0" fontId="0" fillId="0" borderId="5" xfId="0" applyBorder="1"/>
    <xf numFmtId="0" fontId="10" fillId="4" borderId="23" xfId="0" applyFont="1" applyFill="1" applyBorder="1"/>
    <xf numFmtId="0" fontId="0" fillId="4" borderId="5" xfId="0" applyFill="1" applyBorder="1"/>
    <xf numFmtId="0" fontId="0" fillId="4" borderId="23" xfId="0" applyFill="1" applyBorder="1" applyAlignment="1">
      <alignment horizontal="left"/>
    </xf>
    <xf numFmtId="0" fontId="0" fillId="4" borderId="23" xfId="0" applyFill="1" applyBorder="1"/>
    <xf numFmtId="1" fontId="0" fillId="4" borderId="5" xfId="0" applyNumberFormat="1" applyFill="1" applyBorder="1"/>
    <xf numFmtId="0" fontId="2" fillId="4" borderId="23" xfId="0" applyFont="1" applyFill="1" applyBorder="1"/>
    <xf numFmtId="0" fontId="10" fillId="5" borderId="23" xfId="0" applyFont="1" applyFill="1" applyBorder="1"/>
    <xf numFmtId="0" fontId="0" fillId="5" borderId="5" xfId="0" applyFill="1" applyBorder="1"/>
    <xf numFmtId="0" fontId="0" fillId="5" borderId="23" xfId="0" applyFill="1" applyBorder="1"/>
    <xf numFmtId="0" fontId="13" fillId="6" borderId="23" xfId="0" applyFont="1" applyFill="1" applyBorder="1"/>
    <xf numFmtId="0" fontId="13" fillId="5" borderId="23" xfId="0" applyFont="1" applyFill="1" applyBorder="1"/>
    <xf numFmtId="1" fontId="9" fillId="6" borderId="0" xfId="0" applyNumberFormat="1" applyFont="1" applyFill="1"/>
    <xf numFmtId="1" fontId="2" fillId="4" borderId="13" xfId="0" applyNumberFormat="1" applyFont="1" applyFill="1" applyBorder="1"/>
    <xf numFmtId="1" fontId="20" fillId="4" borderId="13" xfId="0" applyNumberFormat="1" applyFont="1" applyFill="1" applyBorder="1"/>
    <xf numFmtId="0" fontId="2" fillId="4" borderId="23" xfId="0" applyFont="1" applyFill="1" applyBorder="1" applyAlignment="1">
      <alignment horizontal="right"/>
    </xf>
    <xf numFmtId="0" fontId="2" fillId="4" borderId="5" xfId="0" applyFont="1" applyFill="1" applyBorder="1"/>
    <xf numFmtId="0" fontId="2" fillId="0" borderId="23" xfId="0" applyFont="1" applyBorder="1"/>
    <xf numFmtId="0" fontId="2" fillId="0" borderId="5" xfId="0" applyFont="1" applyBorder="1"/>
    <xf numFmtId="0" fontId="2" fillId="5" borderId="5" xfId="0" applyFont="1" applyFill="1" applyBorder="1"/>
    <xf numFmtId="0" fontId="2" fillId="5" borderId="23" xfId="0" applyFont="1" applyFill="1" applyBorder="1"/>
    <xf numFmtId="0" fontId="2" fillId="5" borderId="23" xfId="0" applyFont="1" applyFill="1" applyBorder="1" applyAlignment="1">
      <alignment horizontal="right"/>
    </xf>
    <xf numFmtId="0" fontId="2" fillId="5" borderId="0" xfId="0" applyFont="1" applyFill="1" applyAlignment="1">
      <alignment horizontal="right"/>
    </xf>
    <xf numFmtId="0" fontId="2" fillId="6" borderId="0" xfId="0" applyFont="1" applyFill="1"/>
    <xf numFmtId="0" fontId="2" fillId="6" borderId="5" xfId="0" applyFont="1" applyFill="1" applyBorder="1"/>
    <xf numFmtId="0" fontId="2" fillId="6" borderId="23" xfId="0" applyFont="1" applyFill="1" applyBorder="1"/>
    <xf numFmtId="0" fontId="2" fillId="5" borderId="23" xfId="0" applyFont="1" applyFill="1" applyBorder="1" applyAlignment="1">
      <alignment horizontal="left"/>
    </xf>
    <xf numFmtId="9" fontId="2" fillId="2" borderId="13" xfId="0" applyNumberFormat="1" applyFont="1" applyFill="1" applyBorder="1"/>
    <xf numFmtId="0" fontId="2" fillId="0" borderId="27" xfId="0" applyFont="1" applyBorder="1"/>
    <xf numFmtId="0" fontId="16" fillId="0" borderId="28" xfId="0" applyFont="1" applyBorder="1"/>
    <xf numFmtId="1" fontId="2" fillId="2" borderId="13" xfId="0" applyNumberFormat="1" applyFont="1" applyFill="1" applyBorder="1"/>
    <xf numFmtId="0" fontId="2" fillId="0" borderId="13" xfId="0" applyFont="1" applyBorder="1"/>
    <xf numFmtId="1" fontId="2" fillId="2" borderId="13" xfId="0" applyNumberFormat="1" applyFont="1" applyFill="1" applyBorder="1" applyAlignment="1">
      <alignment horizontal="center"/>
    </xf>
    <xf numFmtId="9" fontId="0" fillId="4" borderId="13" xfId="0" applyNumberFormat="1" applyFill="1" applyBorder="1"/>
    <xf numFmtId="0" fontId="2" fillId="0" borderId="33" xfId="0" applyFont="1" applyBorder="1"/>
    <xf numFmtId="0" fontId="2" fillId="0" borderId="34" xfId="0" applyFont="1" applyBorder="1"/>
    <xf numFmtId="0" fontId="2" fillId="0" borderId="35" xfId="0" applyFont="1" applyBorder="1"/>
    <xf numFmtId="0" fontId="2" fillId="0" borderId="4" xfId="0" applyFont="1" applyBorder="1"/>
    <xf numFmtId="0" fontId="2" fillId="0" borderId="36" xfId="0" applyFont="1" applyBorder="1"/>
    <xf numFmtId="0" fontId="2" fillId="0" borderId="37" xfId="0" applyFont="1" applyBorder="1"/>
    <xf numFmtId="0" fontId="2" fillId="5" borderId="0" xfId="0" applyFont="1" applyFill="1" applyAlignment="1">
      <alignment horizontal="center"/>
    </xf>
    <xf numFmtId="0" fontId="2" fillId="4" borderId="13" xfId="0" applyFont="1" applyFill="1" applyBorder="1" applyAlignment="1">
      <alignment horizontal="center"/>
    </xf>
    <xf numFmtId="0" fontId="2" fillId="4" borderId="13" xfId="0" applyFont="1" applyFill="1" applyBorder="1"/>
    <xf numFmtId="0" fontId="2" fillId="0" borderId="13" xfId="0" applyFont="1" applyBorder="1" applyAlignment="1">
      <alignment horizontal="right"/>
    </xf>
    <xf numFmtId="0" fontId="2" fillId="4" borderId="0" xfId="0" applyFont="1" applyFill="1" applyAlignment="1">
      <alignment horizontal="right"/>
    </xf>
    <xf numFmtId="164" fontId="2" fillId="0" borderId="0" xfId="0" applyNumberFormat="1" applyFont="1"/>
    <xf numFmtId="0" fontId="2" fillId="0" borderId="0" xfId="0" applyFont="1" applyAlignment="1">
      <alignment textRotation="90" wrapText="1"/>
    </xf>
    <xf numFmtId="44" fontId="2" fillId="0" borderId="0" xfId="0" applyNumberFormat="1" applyFont="1"/>
    <xf numFmtId="44" fontId="15" fillId="0" borderId="19" xfId="0" applyNumberFormat="1" applyFont="1" applyBorder="1" applyAlignment="1">
      <alignment textRotation="90" wrapText="1"/>
    </xf>
    <xf numFmtId="164" fontId="2" fillId="0" borderId="23" xfId="0" applyNumberFormat="1" applyFont="1" applyBorder="1"/>
    <xf numFmtId="164" fontId="0" fillId="0" borderId="1" xfId="0" applyNumberFormat="1" applyBorder="1"/>
    <xf numFmtId="0" fontId="15" fillId="0" borderId="1" xfId="0" applyFont="1" applyBorder="1" applyAlignment="1">
      <alignment horizontal="right"/>
    </xf>
    <xf numFmtId="0" fontId="15" fillId="0" borderId="0" xfId="0" applyFont="1" applyAlignment="1">
      <alignment horizontal="right"/>
    </xf>
    <xf numFmtId="0" fontId="21" fillId="0" borderId="0" xfId="0" applyFont="1" applyAlignment="1">
      <alignment horizontal="center"/>
    </xf>
    <xf numFmtId="0" fontId="15" fillId="0" borderId="1" xfId="0" applyFont="1" applyBorder="1" applyAlignment="1">
      <alignment textRotation="90" wrapText="1"/>
    </xf>
    <xf numFmtId="164" fontId="0" fillId="0" borderId="14" xfId="0" applyNumberFormat="1" applyBorder="1"/>
    <xf numFmtId="0" fontId="2" fillId="0" borderId="5" xfId="0" applyFont="1" applyBorder="1" applyAlignment="1">
      <alignment textRotation="90" wrapText="1"/>
    </xf>
    <xf numFmtId="44" fontId="2" fillId="0" borderId="23" xfId="0" applyNumberFormat="1" applyFont="1" applyBorder="1"/>
    <xf numFmtId="0" fontId="0" fillId="0" borderId="1" xfId="0" applyBorder="1"/>
    <xf numFmtId="164" fontId="8" fillId="0" borderId="23" xfId="0" applyNumberFormat="1" applyFont="1" applyBorder="1"/>
    <xf numFmtId="0" fontId="0" fillId="0" borderId="18" xfId="0" applyBorder="1"/>
    <xf numFmtId="9" fontId="0" fillId="0" borderId="0" xfId="0" applyNumberFormat="1"/>
    <xf numFmtId="2" fontId="0" fillId="0" borderId="0" xfId="0" applyNumberFormat="1"/>
    <xf numFmtId="0" fontId="0" fillId="7" borderId="0" xfId="0" applyFill="1"/>
    <xf numFmtId="0" fontId="7" fillId="7" borderId="0" xfId="0" applyFont="1" applyFill="1"/>
    <xf numFmtId="42" fontId="0" fillId="7" borderId="0" xfId="0" applyNumberFormat="1" applyFill="1"/>
    <xf numFmtId="0" fontId="0" fillId="7" borderId="23" xfId="0" applyFill="1" applyBorder="1"/>
    <xf numFmtId="0" fontId="0" fillId="7" borderId="5" xfId="0" applyFill="1" applyBorder="1"/>
    <xf numFmtId="1" fontId="2" fillId="0" borderId="13" xfId="0" applyNumberFormat="1" applyFont="1" applyBorder="1" applyAlignment="1">
      <alignment horizontal="center"/>
    </xf>
    <xf numFmtId="9" fontId="2" fillId="2" borderId="0" xfId="0" applyNumberFormat="1" applyFont="1" applyFill="1"/>
    <xf numFmtId="0" fontId="2" fillId="0" borderId="42" xfId="0" applyFont="1" applyBorder="1"/>
    <xf numFmtId="0" fontId="2" fillId="0" borderId="43" xfId="0" applyFont="1" applyBorder="1"/>
    <xf numFmtId="0" fontId="2" fillId="0" borderId="44" xfId="0" applyFont="1" applyBorder="1"/>
    <xf numFmtId="0" fontId="2" fillId="0" borderId="45" xfId="0" applyFont="1" applyBorder="1"/>
    <xf numFmtId="0" fontId="16" fillId="2" borderId="0" xfId="0" applyFont="1" applyFill="1"/>
    <xf numFmtId="0" fontId="2" fillId="8" borderId="27" xfId="0" applyFont="1" applyFill="1" applyBorder="1"/>
    <xf numFmtId="0" fontId="2" fillId="8" borderId="29" xfId="0" applyFont="1" applyFill="1" applyBorder="1"/>
    <xf numFmtId="0" fontId="2" fillId="8" borderId="28" xfId="0" applyFont="1" applyFill="1" applyBorder="1"/>
    <xf numFmtId="1" fontId="0" fillId="7" borderId="0" xfId="0" applyNumberFormat="1" applyFill="1" applyAlignment="1">
      <alignment horizontal="right"/>
    </xf>
    <xf numFmtId="165" fontId="2" fillId="0" borderId="13" xfId="0" applyNumberFormat="1" applyFont="1" applyBorder="1"/>
    <xf numFmtId="44" fontId="0" fillId="7" borderId="0" xfId="0" applyNumberFormat="1" applyFill="1"/>
    <xf numFmtId="1" fontId="22" fillId="6" borderId="0" xfId="0" applyNumberFormat="1" applyFont="1" applyFill="1"/>
    <xf numFmtId="42" fontId="9" fillId="6" borderId="0" xfId="0" applyNumberFormat="1" applyFont="1" applyFill="1"/>
    <xf numFmtId="39" fontId="2" fillId="0" borderId="27" xfId="0" applyNumberFormat="1" applyFont="1" applyBorder="1"/>
    <xf numFmtId="39" fontId="2" fillId="0" borderId="29" xfId="0" applyNumberFormat="1" applyFont="1" applyBorder="1"/>
    <xf numFmtId="39" fontId="2" fillId="0" borderId="28" xfId="0" applyNumberFormat="1" applyFont="1" applyBorder="1"/>
    <xf numFmtId="42" fontId="20" fillId="6" borderId="27" xfId="0" applyNumberFormat="1" applyFont="1" applyFill="1" applyBorder="1"/>
    <xf numFmtId="42" fontId="20" fillId="6" borderId="29" xfId="0" applyNumberFormat="1" applyFont="1" applyFill="1" applyBorder="1"/>
    <xf numFmtId="42" fontId="20" fillId="6" borderId="46" xfId="0" applyNumberFormat="1" applyFont="1" applyFill="1" applyBorder="1"/>
    <xf numFmtId="42" fontId="20" fillId="6" borderId="28" xfId="0" applyNumberFormat="1" applyFont="1" applyFill="1" applyBorder="1"/>
    <xf numFmtId="9" fontId="24" fillId="0" borderId="13" xfId="0" applyNumberFormat="1" applyFont="1" applyBorder="1"/>
    <xf numFmtId="44" fontId="24" fillId="0" borderId="41" xfId="0" applyNumberFormat="1" applyFont="1" applyBorder="1"/>
    <xf numFmtId="44" fontId="20" fillId="7" borderId="13" xfId="0" applyNumberFormat="1" applyFont="1" applyFill="1" applyBorder="1"/>
    <xf numFmtId="0" fontId="25" fillId="5" borderId="0" xfId="0" applyFont="1" applyFill="1"/>
    <xf numFmtId="1" fontId="20" fillId="5" borderId="13" xfId="0" applyNumberFormat="1" applyFont="1" applyFill="1" applyBorder="1"/>
    <xf numFmtId="165" fontId="20" fillId="5" borderId="13" xfId="0" applyNumberFormat="1" applyFont="1" applyFill="1" applyBorder="1"/>
    <xf numFmtId="0" fontId="24" fillId="0" borderId="0" xfId="0" applyFont="1" applyAlignment="1">
      <alignment vertical="center"/>
    </xf>
    <xf numFmtId="0" fontId="30" fillId="0" borderId="0" xfId="0" applyFont="1" applyAlignment="1">
      <alignment vertical="center"/>
    </xf>
    <xf numFmtId="0" fontId="10" fillId="0" borderId="0" xfId="0" applyFont="1" applyAlignment="1">
      <alignment vertical="center"/>
    </xf>
    <xf numFmtId="0" fontId="26" fillId="0" borderId="0" xfId="0" applyFont="1" applyAlignment="1">
      <alignment vertical="center" wrapText="1"/>
    </xf>
    <xf numFmtId="0" fontId="0" fillId="0" borderId="0" xfId="0" applyAlignment="1">
      <alignment wrapText="1"/>
    </xf>
    <xf numFmtId="0" fontId="27" fillId="0" borderId="0" xfId="0" applyFont="1" applyAlignment="1">
      <alignment vertical="center" wrapText="1"/>
    </xf>
    <xf numFmtId="0" fontId="24" fillId="0" borderId="0" xfId="0" applyFont="1" applyAlignment="1">
      <alignment vertical="center" wrapText="1"/>
    </xf>
    <xf numFmtId="0" fontId="24" fillId="0" borderId="0" xfId="0" applyFont="1" applyAlignment="1">
      <alignment horizontal="left" vertical="center" wrapText="1"/>
    </xf>
    <xf numFmtId="0" fontId="30" fillId="0" borderId="0" xfId="0" applyFont="1" applyAlignment="1">
      <alignment vertical="center" wrapText="1"/>
    </xf>
    <xf numFmtId="0" fontId="10" fillId="0" borderId="0" xfId="0" applyFont="1" applyAlignment="1">
      <alignment vertical="center" wrapText="1"/>
    </xf>
    <xf numFmtId="0" fontId="26" fillId="0" borderId="0" xfId="0" applyFont="1" applyAlignment="1">
      <alignment horizontal="left" vertical="center"/>
    </xf>
    <xf numFmtId="0" fontId="2" fillId="0" borderId="27" xfId="0" applyFont="1" applyBorder="1" applyAlignment="1">
      <alignment horizontal="center"/>
    </xf>
    <xf numFmtId="0" fontId="2" fillId="0" borderId="28" xfId="0" applyFont="1" applyBorder="1" applyAlignment="1">
      <alignment horizontal="center"/>
    </xf>
    <xf numFmtId="0" fontId="0" fillId="0" borderId="0" xfId="0" applyAlignment="1">
      <alignment horizontal="center"/>
    </xf>
    <xf numFmtId="44" fontId="0" fillId="0" borderId="0" xfId="0" applyNumberFormat="1" applyAlignment="1">
      <alignment horizontal="center"/>
    </xf>
    <xf numFmtId="0" fontId="31" fillId="2" borderId="0" xfId="0" applyFont="1" applyFill="1"/>
    <xf numFmtId="0" fontId="32" fillId="2" borderId="0" xfId="0" applyFont="1" applyFill="1" applyAlignment="1">
      <alignment horizontal="left"/>
    </xf>
    <xf numFmtId="1" fontId="2" fillId="4" borderId="0" xfId="0" applyNumberFormat="1" applyFont="1" applyFill="1"/>
    <xf numFmtId="1" fontId="33" fillId="4" borderId="0" xfId="0" applyNumberFormat="1" applyFont="1" applyFill="1"/>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19" fillId="0" borderId="20" xfId="0" applyFont="1" applyBorder="1" applyAlignment="1">
      <alignment horizontal="center"/>
    </xf>
    <xf numFmtId="0" fontId="19" fillId="0" borderId="21" xfId="0" applyFont="1" applyBorder="1" applyAlignment="1">
      <alignment horizontal="center"/>
    </xf>
    <xf numFmtId="0" fontId="19" fillId="0" borderId="22"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19" fillId="0" borderId="24" xfId="0" applyFont="1" applyBorder="1" applyAlignment="1">
      <alignment horizontal="center"/>
    </xf>
    <xf numFmtId="0" fontId="19" fillId="0" borderId="25" xfId="0" applyFont="1" applyBorder="1" applyAlignment="1">
      <alignment horizontal="center"/>
    </xf>
    <xf numFmtId="0" fontId="19" fillId="0" borderId="26" xfId="0" applyFont="1" applyBorder="1" applyAlignment="1">
      <alignment horizontal="center"/>
    </xf>
    <xf numFmtId="0" fontId="13" fillId="7" borderId="20" xfId="0" applyFont="1" applyFill="1" applyBorder="1" applyAlignment="1">
      <alignment horizontal="center"/>
    </xf>
    <xf numFmtId="0" fontId="13" fillId="7" borderId="21" xfId="0" applyFont="1" applyFill="1" applyBorder="1" applyAlignment="1">
      <alignment horizontal="center"/>
    </xf>
    <xf numFmtId="0" fontId="13" fillId="7" borderId="22" xfId="0" applyFont="1" applyFill="1" applyBorder="1" applyAlignment="1">
      <alignment horizontal="center"/>
    </xf>
    <xf numFmtId="0" fontId="15" fillId="4" borderId="0" xfId="0" applyFont="1" applyFill="1" applyAlignment="1">
      <alignment horizontal="center"/>
    </xf>
    <xf numFmtId="0" fontId="15" fillId="2" borderId="0" xfId="0" applyFont="1" applyFill="1" applyAlignment="1">
      <alignment horizontal="center"/>
    </xf>
    <xf numFmtId="164" fontId="15" fillId="0" borderId="19" xfId="0" applyNumberFormat="1" applyFont="1" applyBorder="1" applyAlignment="1">
      <alignment horizontal="right"/>
    </xf>
    <xf numFmtId="164" fontId="15" fillId="0" borderId="14" xfId="0" applyNumberFormat="1" applyFont="1" applyBorder="1" applyAlignment="1">
      <alignment horizontal="right"/>
    </xf>
    <xf numFmtId="0" fontId="2" fillId="0" borderId="0" xfId="0" applyFont="1" applyAlignment="1">
      <alignment horizontal="center"/>
    </xf>
    <xf numFmtId="0" fontId="15" fillId="5" borderId="0" xfId="0" applyFont="1" applyFill="1" applyAlignment="1">
      <alignment horizontal="center"/>
    </xf>
    <xf numFmtId="0" fontId="0" fillId="5" borderId="0" xfId="0" applyFill="1" applyAlignment="1">
      <alignment horizontal="center"/>
    </xf>
    <xf numFmtId="0" fontId="15" fillId="7" borderId="5" xfId="0" applyFont="1" applyFill="1" applyBorder="1" applyAlignment="1">
      <alignment horizontal="center"/>
    </xf>
    <xf numFmtId="0" fontId="4" fillId="0" borderId="0" xfId="0" applyFont="1" applyAlignment="1">
      <alignment horizontal="center" textRotation="90"/>
    </xf>
    <xf numFmtId="0" fontId="4" fillId="0" borderId="38" xfId="0" applyFont="1" applyBorder="1" applyAlignment="1">
      <alignment horizontal="center" textRotation="90"/>
    </xf>
    <xf numFmtId="0" fontId="4" fillId="0" borderId="18" xfId="0" applyFont="1" applyBorder="1" applyAlignment="1">
      <alignment horizontal="center" textRotation="90"/>
    </xf>
    <xf numFmtId="0" fontId="4" fillId="0" borderId="40" xfId="0" applyFont="1" applyBorder="1" applyAlignment="1">
      <alignment horizontal="center" textRotation="90"/>
    </xf>
    <xf numFmtId="0" fontId="12" fillId="0" borderId="23" xfId="0" applyFont="1" applyBorder="1" applyAlignment="1">
      <alignment horizontal="center"/>
    </xf>
    <xf numFmtId="0" fontId="12" fillId="0" borderId="0" xfId="0" applyFont="1" applyAlignment="1">
      <alignment horizontal="center"/>
    </xf>
    <xf numFmtId="0" fontId="12" fillId="0" borderId="1" xfId="0" applyFont="1" applyBorder="1" applyAlignment="1">
      <alignment horizontal="center"/>
    </xf>
    <xf numFmtId="0" fontId="12" fillId="0" borderId="18" xfId="0" applyFont="1" applyBorder="1" applyAlignment="1">
      <alignment horizontal="center"/>
    </xf>
    <xf numFmtId="0" fontId="12" fillId="0" borderId="5" xfId="0" applyFont="1" applyBorder="1" applyAlignment="1">
      <alignment horizontal="center"/>
    </xf>
    <xf numFmtId="0" fontId="4" fillId="0" borderId="5" xfId="0" applyFont="1" applyBorder="1" applyAlignment="1">
      <alignment horizontal="center" textRotation="90"/>
    </xf>
    <xf numFmtId="0" fontId="4" fillId="0" borderId="39" xfId="0" applyFont="1" applyBorder="1" applyAlignment="1">
      <alignment horizontal="center" textRotation="90"/>
    </xf>
    <xf numFmtId="0" fontId="15" fillId="0" borderId="14" xfId="0" applyFont="1" applyBorder="1" applyAlignment="1">
      <alignment horizontal="right" textRotation="90" wrapText="1"/>
    </xf>
    <xf numFmtId="44" fontId="15" fillId="0" borderId="19" xfId="0" applyNumberFormat="1" applyFont="1" applyBorder="1" applyAlignment="1">
      <alignment horizontal="right" textRotation="90" wrapText="1"/>
    </xf>
    <xf numFmtId="0" fontId="15" fillId="0" borderId="0" xfId="0" applyFont="1" applyAlignment="1">
      <alignment horizontal="center" textRotation="90" wrapText="1"/>
    </xf>
    <xf numFmtId="0" fontId="15" fillId="0" borderId="5" xfId="0" applyFont="1" applyBorder="1" applyAlignment="1">
      <alignment horizontal="center" textRotation="90"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verhouding W/K en kWh/M2 </a:t>
            </a:r>
            <a:r>
              <a:rPr lang="en-US" baseline="0"/>
              <a:t>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Blad1!$G$20</c:f>
              <c:strCache>
                <c:ptCount val="1"/>
                <c:pt idx="0">
                  <c:v>kWh/m2</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inear"/>
            <c:dispRSqr val="0"/>
            <c:dispEq val="0"/>
          </c:trendline>
          <c:xVal>
            <c:numRef>
              <c:f>Blad1!$F$21:$F$25</c:f>
              <c:numCache>
                <c:formatCode>General</c:formatCode>
                <c:ptCount val="5"/>
                <c:pt idx="0">
                  <c:v>134.19999999999999</c:v>
                </c:pt>
                <c:pt idx="1">
                  <c:v>171.3</c:v>
                </c:pt>
                <c:pt idx="2">
                  <c:v>247.5</c:v>
                </c:pt>
                <c:pt idx="3">
                  <c:v>318.39999999999998</c:v>
                </c:pt>
                <c:pt idx="4">
                  <c:v>341.4</c:v>
                </c:pt>
              </c:numCache>
            </c:numRef>
          </c:xVal>
          <c:yVal>
            <c:numRef>
              <c:f>Blad1!$G$21:$G$25</c:f>
              <c:numCache>
                <c:formatCode>General</c:formatCode>
                <c:ptCount val="5"/>
                <c:pt idx="0">
                  <c:v>20.3</c:v>
                </c:pt>
                <c:pt idx="1">
                  <c:v>36.9</c:v>
                </c:pt>
                <c:pt idx="2">
                  <c:v>58.5</c:v>
                </c:pt>
                <c:pt idx="3">
                  <c:v>90.1</c:v>
                </c:pt>
                <c:pt idx="4">
                  <c:v>99.1</c:v>
                </c:pt>
              </c:numCache>
            </c:numRef>
          </c:yVal>
          <c:smooth val="0"/>
          <c:extLst>
            <c:ext xmlns:c16="http://schemas.microsoft.com/office/drawing/2014/chart" uri="{C3380CC4-5D6E-409C-BE32-E72D297353CC}">
              <c16:uniqueId val="{00000000-417E-4C95-9F92-FD1F134EDC41}"/>
            </c:ext>
          </c:extLst>
        </c:ser>
        <c:dLbls>
          <c:showLegendKey val="0"/>
          <c:showVal val="0"/>
          <c:showCatName val="0"/>
          <c:showSerName val="0"/>
          <c:showPercent val="0"/>
          <c:showBubbleSize val="0"/>
        </c:dLbls>
        <c:axId val="721962560"/>
        <c:axId val="721962920"/>
      </c:scatterChart>
      <c:valAx>
        <c:axId val="7219625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962920"/>
        <c:crosses val="autoZero"/>
        <c:crossBetween val="midCat"/>
      </c:valAx>
      <c:valAx>
        <c:axId val="7219629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962560"/>
        <c:crossesAt val="0"/>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Blad1!$O$40</c:f>
              <c:strCache>
                <c:ptCount val="1"/>
                <c:pt idx="0">
                  <c:v>W/K</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Blad1!$N$41:$N$45</c:f>
              <c:numCache>
                <c:formatCode>General</c:formatCode>
                <c:ptCount val="5"/>
                <c:pt idx="0">
                  <c:v>20.3</c:v>
                </c:pt>
                <c:pt idx="1">
                  <c:v>36.9</c:v>
                </c:pt>
                <c:pt idx="2">
                  <c:v>58.5</c:v>
                </c:pt>
                <c:pt idx="3">
                  <c:v>90.1</c:v>
                </c:pt>
                <c:pt idx="4">
                  <c:v>99.1</c:v>
                </c:pt>
              </c:numCache>
            </c:numRef>
          </c:xVal>
          <c:yVal>
            <c:numRef>
              <c:f>Blad1!$O$41:$O$45</c:f>
              <c:numCache>
                <c:formatCode>General</c:formatCode>
                <c:ptCount val="5"/>
                <c:pt idx="0">
                  <c:v>134.19999999999999</c:v>
                </c:pt>
                <c:pt idx="1">
                  <c:v>171.3</c:v>
                </c:pt>
                <c:pt idx="2">
                  <c:v>247.5</c:v>
                </c:pt>
                <c:pt idx="3">
                  <c:v>318.39999999999998</c:v>
                </c:pt>
                <c:pt idx="4">
                  <c:v>341.4</c:v>
                </c:pt>
              </c:numCache>
            </c:numRef>
          </c:yVal>
          <c:smooth val="0"/>
          <c:extLst>
            <c:ext xmlns:c16="http://schemas.microsoft.com/office/drawing/2014/chart" uri="{C3380CC4-5D6E-409C-BE32-E72D297353CC}">
              <c16:uniqueId val="{00000000-105B-45DD-A931-30058CC79C36}"/>
            </c:ext>
          </c:extLst>
        </c:ser>
        <c:dLbls>
          <c:showLegendKey val="0"/>
          <c:showVal val="0"/>
          <c:showCatName val="0"/>
          <c:showSerName val="0"/>
          <c:showPercent val="0"/>
          <c:showBubbleSize val="0"/>
        </c:dLbls>
        <c:axId val="842331936"/>
        <c:axId val="842331576"/>
      </c:scatterChart>
      <c:valAx>
        <c:axId val="8423319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2331576"/>
        <c:crosses val="autoZero"/>
        <c:crossBetween val="midCat"/>
      </c:valAx>
      <c:valAx>
        <c:axId val="8423315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23319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23812</xdr:colOff>
      <xdr:row>28</xdr:row>
      <xdr:rowOff>104775</xdr:rowOff>
    </xdr:from>
    <xdr:to>
      <xdr:col>11</xdr:col>
      <xdr:colOff>571499</xdr:colOff>
      <xdr:row>28</xdr:row>
      <xdr:rowOff>104775</xdr:rowOff>
    </xdr:to>
    <xdr:cxnSp macro="">
      <xdr:nvCxnSpPr>
        <xdr:cNvPr id="14" name="Rechte verbindingslijn met pijl 13">
          <a:extLst>
            <a:ext uri="{FF2B5EF4-FFF2-40B4-BE49-F238E27FC236}">
              <a16:creationId xmlns:a16="http://schemas.microsoft.com/office/drawing/2014/main" id="{818B3D92-38BD-46A9-8869-82F6023D691D}"/>
            </a:ext>
          </a:extLst>
        </xdr:cNvPr>
        <xdr:cNvCxnSpPr/>
      </xdr:nvCxnSpPr>
      <xdr:spPr>
        <a:xfrm>
          <a:off x="5334000" y="7748588"/>
          <a:ext cx="547687"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297656</xdr:colOff>
      <xdr:row>22</xdr:row>
      <xdr:rowOff>23812</xdr:rowOff>
    </xdr:from>
    <xdr:to>
      <xdr:col>12</xdr:col>
      <xdr:colOff>302419</xdr:colOff>
      <xdr:row>28</xdr:row>
      <xdr:rowOff>30957</xdr:rowOff>
    </xdr:to>
    <xdr:cxnSp macro="">
      <xdr:nvCxnSpPr>
        <xdr:cNvPr id="18" name="Rechte verbindingslijn met pijl 17">
          <a:extLst>
            <a:ext uri="{FF2B5EF4-FFF2-40B4-BE49-F238E27FC236}">
              <a16:creationId xmlns:a16="http://schemas.microsoft.com/office/drawing/2014/main" id="{C2AE0DFC-539F-47FE-9E5E-014F4075E372}"/>
            </a:ext>
          </a:extLst>
        </xdr:cNvPr>
        <xdr:cNvCxnSpPr/>
      </xdr:nvCxnSpPr>
      <xdr:spPr>
        <a:xfrm>
          <a:off x="6346031" y="5762625"/>
          <a:ext cx="4763" cy="191214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23812</xdr:colOff>
      <xdr:row>33</xdr:row>
      <xdr:rowOff>95250</xdr:rowOff>
    </xdr:from>
    <xdr:to>
      <xdr:col>11</xdr:col>
      <xdr:colOff>581025</xdr:colOff>
      <xdr:row>33</xdr:row>
      <xdr:rowOff>95250</xdr:rowOff>
    </xdr:to>
    <xdr:cxnSp macro="">
      <xdr:nvCxnSpPr>
        <xdr:cNvPr id="21" name="Rechte verbindingslijn met pijl 20">
          <a:extLst>
            <a:ext uri="{FF2B5EF4-FFF2-40B4-BE49-F238E27FC236}">
              <a16:creationId xmlns:a16="http://schemas.microsoft.com/office/drawing/2014/main" id="{51094BA0-E4CD-457B-9D63-BEBC68851314}"/>
            </a:ext>
          </a:extLst>
        </xdr:cNvPr>
        <xdr:cNvCxnSpPr/>
      </xdr:nvCxnSpPr>
      <xdr:spPr>
        <a:xfrm>
          <a:off x="5334000" y="8691563"/>
          <a:ext cx="557213"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314325</xdr:colOff>
      <xdr:row>29</xdr:row>
      <xdr:rowOff>10584</xdr:rowOff>
    </xdr:from>
    <xdr:to>
      <xdr:col>12</xdr:col>
      <xdr:colOff>314325</xdr:colOff>
      <xdr:row>33</xdr:row>
      <xdr:rowOff>0</xdr:rowOff>
    </xdr:to>
    <xdr:cxnSp macro="">
      <xdr:nvCxnSpPr>
        <xdr:cNvPr id="23" name="Rechte verbindingslijn met pijl 22">
          <a:extLst>
            <a:ext uri="{FF2B5EF4-FFF2-40B4-BE49-F238E27FC236}">
              <a16:creationId xmlns:a16="http://schemas.microsoft.com/office/drawing/2014/main" id="{FCE3CA81-8467-47DC-8567-3366AAA45C9F}"/>
            </a:ext>
          </a:extLst>
        </xdr:cNvPr>
        <xdr:cNvCxnSpPr/>
      </xdr:nvCxnSpPr>
      <xdr:spPr>
        <a:xfrm>
          <a:off x="6939492" y="5958417"/>
          <a:ext cx="0" cy="65616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309562</xdr:colOff>
      <xdr:row>34</xdr:row>
      <xdr:rowOff>19050</xdr:rowOff>
    </xdr:from>
    <xdr:to>
      <xdr:col>12</xdr:col>
      <xdr:colOff>314325</xdr:colOff>
      <xdr:row>35</xdr:row>
      <xdr:rowOff>23812</xdr:rowOff>
    </xdr:to>
    <xdr:cxnSp macro="">
      <xdr:nvCxnSpPr>
        <xdr:cNvPr id="31" name="Rechte verbindingslijn met pijl 30">
          <a:extLst>
            <a:ext uri="{FF2B5EF4-FFF2-40B4-BE49-F238E27FC236}">
              <a16:creationId xmlns:a16="http://schemas.microsoft.com/office/drawing/2014/main" id="{4807018D-2E89-4D06-B0F9-CB40EA31691D}"/>
            </a:ext>
          </a:extLst>
        </xdr:cNvPr>
        <xdr:cNvCxnSpPr/>
      </xdr:nvCxnSpPr>
      <xdr:spPr>
        <a:xfrm flipH="1">
          <a:off x="6203156" y="8805863"/>
          <a:ext cx="4763" cy="195262"/>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xdr:colOff>
      <xdr:row>37</xdr:row>
      <xdr:rowOff>95250</xdr:rowOff>
    </xdr:from>
    <xdr:to>
      <xdr:col>12</xdr:col>
      <xdr:colOff>9525</xdr:colOff>
      <xdr:row>37</xdr:row>
      <xdr:rowOff>95250</xdr:rowOff>
    </xdr:to>
    <xdr:cxnSp macro="">
      <xdr:nvCxnSpPr>
        <xdr:cNvPr id="33" name="Rechte verbindingslijn met pijl 32">
          <a:extLst>
            <a:ext uri="{FF2B5EF4-FFF2-40B4-BE49-F238E27FC236}">
              <a16:creationId xmlns:a16="http://schemas.microsoft.com/office/drawing/2014/main" id="{D34193A7-1CF8-44A0-AA0C-EE7A690CB2C7}"/>
            </a:ext>
          </a:extLst>
        </xdr:cNvPr>
        <xdr:cNvCxnSpPr/>
      </xdr:nvCxnSpPr>
      <xdr:spPr>
        <a:xfrm>
          <a:off x="5310187" y="9453563"/>
          <a:ext cx="592932"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314325</xdr:colOff>
      <xdr:row>38</xdr:row>
      <xdr:rowOff>9525</xdr:rowOff>
    </xdr:from>
    <xdr:to>
      <xdr:col>12</xdr:col>
      <xdr:colOff>314325</xdr:colOff>
      <xdr:row>39</xdr:row>
      <xdr:rowOff>19050</xdr:rowOff>
    </xdr:to>
    <xdr:cxnSp macro="">
      <xdr:nvCxnSpPr>
        <xdr:cNvPr id="35" name="Rechte verbindingslijn met pijl 34">
          <a:extLst>
            <a:ext uri="{FF2B5EF4-FFF2-40B4-BE49-F238E27FC236}">
              <a16:creationId xmlns:a16="http://schemas.microsoft.com/office/drawing/2014/main" id="{3A75BC61-1238-4B12-9AFF-065DE04AFF85}"/>
            </a:ext>
          </a:extLst>
        </xdr:cNvPr>
        <xdr:cNvCxnSpPr/>
      </xdr:nvCxnSpPr>
      <xdr:spPr>
        <a:xfrm>
          <a:off x="4829175" y="3819525"/>
          <a:ext cx="0" cy="20002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726281</xdr:colOff>
      <xdr:row>39</xdr:row>
      <xdr:rowOff>85725</xdr:rowOff>
    </xdr:from>
    <xdr:to>
      <xdr:col>12</xdr:col>
      <xdr:colOff>9525</xdr:colOff>
      <xdr:row>39</xdr:row>
      <xdr:rowOff>85725</xdr:rowOff>
    </xdr:to>
    <xdr:cxnSp macro="">
      <xdr:nvCxnSpPr>
        <xdr:cNvPr id="36" name="Rechte verbindingslijn met pijl 35">
          <a:extLst>
            <a:ext uri="{FF2B5EF4-FFF2-40B4-BE49-F238E27FC236}">
              <a16:creationId xmlns:a16="http://schemas.microsoft.com/office/drawing/2014/main" id="{E4D02754-A024-4F94-B422-C70D3D0D7A56}"/>
            </a:ext>
          </a:extLst>
        </xdr:cNvPr>
        <xdr:cNvCxnSpPr/>
      </xdr:nvCxnSpPr>
      <xdr:spPr>
        <a:xfrm>
          <a:off x="5453062" y="9825038"/>
          <a:ext cx="604838"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42</xdr:row>
      <xdr:rowOff>104775</xdr:rowOff>
    </xdr:from>
    <xdr:to>
      <xdr:col>12</xdr:col>
      <xdr:colOff>0</xdr:colOff>
      <xdr:row>42</xdr:row>
      <xdr:rowOff>104775</xdr:rowOff>
    </xdr:to>
    <xdr:cxnSp macro="">
      <xdr:nvCxnSpPr>
        <xdr:cNvPr id="42" name="Rechte verbindingslijn met pijl 41">
          <a:extLst>
            <a:ext uri="{FF2B5EF4-FFF2-40B4-BE49-F238E27FC236}">
              <a16:creationId xmlns:a16="http://schemas.microsoft.com/office/drawing/2014/main" id="{8DD27222-2617-4F6F-8D8B-4CE51361CEDA}"/>
            </a:ext>
          </a:extLst>
        </xdr:cNvPr>
        <xdr:cNvCxnSpPr/>
      </xdr:nvCxnSpPr>
      <xdr:spPr>
        <a:xfrm>
          <a:off x="5464969" y="10606088"/>
          <a:ext cx="583406"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304800</xdr:colOff>
      <xdr:row>40</xdr:row>
      <xdr:rowOff>9525</xdr:rowOff>
    </xdr:from>
    <xdr:to>
      <xdr:col>12</xdr:col>
      <xdr:colOff>304800</xdr:colOff>
      <xdr:row>42</xdr:row>
      <xdr:rowOff>57150</xdr:rowOff>
    </xdr:to>
    <xdr:cxnSp macro="">
      <xdr:nvCxnSpPr>
        <xdr:cNvPr id="43" name="Rechte verbindingslijn met pijl 42">
          <a:extLst>
            <a:ext uri="{FF2B5EF4-FFF2-40B4-BE49-F238E27FC236}">
              <a16:creationId xmlns:a16="http://schemas.microsoft.com/office/drawing/2014/main" id="{FCCBB5D8-10E5-48C6-B8E6-1D5461E1174B}"/>
            </a:ext>
          </a:extLst>
        </xdr:cNvPr>
        <xdr:cNvCxnSpPr/>
      </xdr:nvCxnSpPr>
      <xdr:spPr>
        <a:xfrm>
          <a:off x="4819650" y="4200525"/>
          <a:ext cx="0" cy="42862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314325</xdr:colOff>
      <xdr:row>43</xdr:row>
      <xdr:rowOff>9525</xdr:rowOff>
    </xdr:from>
    <xdr:to>
      <xdr:col>12</xdr:col>
      <xdr:colOff>314325</xdr:colOff>
      <xdr:row>44</xdr:row>
      <xdr:rowOff>0</xdr:rowOff>
    </xdr:to>
    <xdr:cxnSp macro="">
      <xdr:nvCxnSpPr>
        <xdr:cNvPr id="51" name="Rechte verbindingslijn met pijl 50">
          <a:extLst>
            <a:ext uri="{FF2B5EF4-FFF2-40B4-BE49-F238E27FC236}">
              <a16:creationId xmlns:a16="http://schemas.microsoft.com/office/drawing/2014/main" id="{DB2AC6DC-ED72-42B1-8754-01873FBB584D}"/>
            </a:ext>
          </a:extLst>
        </xdr:cNvPr>
        <xdr:cNvCxnSpPr/>
      </xdr:nvCxnSpPr>
      <xdr:spPr>
        <a:xfrm>
          <a:off x="4829175" y="3819525"/>
          <a:ext cx="0" cy="20002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314325</xdr:colOff>
      <xdr:row>43</xdr:row>
      <xdr:rowOff>19050</xdr:rowOff>
    </xdr:from>
    <xdr:to>
      <xdr:col>12</xdr:col>
      <xdr:colOff>314325</xdr:colOff>
      <xdr:row>44</xdr:row>
      <xdr:rowOff>0</xdr:rowOff>
    </xdr:to>
    <xdr:cxnSp macro="">
      <xdr:nvCxnSpPr>
        <xdr:cNvPr id="52" name="Rechte verbindingslijn met pijl 51">
          <a:extLst>
            <a:ext uri="{FF2B5EF4-FFF2-40B4-BE49-F238E27FC236}">
              <a16:creationId xmlns:a16="http://schemas.microsoft.com/office/drawing/2014/main" id="{530CAB11-7571-44BF-B6DC-A00930F48094}"/>
            </a:ext>
          </a:extLst>
        </xdr:cNvPr>
        <xdr:cNvCxnSpPr/>
      </xdr:nvCxnSpPr>
      <xdr:spPr>
        <a:xfrm>
          <a:off x="4829175" y="3829050"/>
          <a:ext cx="0" cy="20002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11906</xdr:colOff>
      <xdr:row>48</xdr:row>
      <xdr:rowOff>104775</xdr:rowOff>
    </xdr:from>
    <xdr:to>
      <xdr:col>12</xdr:col>
      <xdr:colOff>0</xdr:colOff>
      <xdr:row>48</xdr:row>
      <xdr:rowOff>104775</xdr:rowOff>
    </xdr:to>
    <xdr:cxnSp macro="">
      <xdr:nvCxnSpPr>
        <xdr:cNvPr id="54" name="Rechte verbindingslijn met pijl 53">
          <a:extLst>
            <a:ext uri="{FF2B5EF4-FFF2-40B4-BE49-F238E27FC236}">
              <a16:creationId xmlns:a16="http://schemas.microsoft.com/office/drawing/2014/main" id="{D2B0B104-45C7-4BEE-A8F5-C7F2060ED6BA}"/>
            </a:ext>
          </a:extLst>
        </xdr:cNvPr>
        <xdr:cNvCxnSpPr/>
      </xdr:nvCxnSpPr>
      <xdr:spPr>
        <a:xfrm>
          <a:off x="5476875" y="11939588"/>
          <a:ext cx="571500"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295275</xdr:colOff>
      <xdr:row>44</xdr:row>
      <xdr:rowOff>0</xdr:rowOff>
    </xdr:from>
    <xdr:to>
      <xdr:col>12</xdr:col>
      <xdr:colOff>295275</xdr:colOff>
      <xdr:row>48</xdr:row>
      <xdr:rowOff>9525</xdr:rowOff>
    </xdr:to>
    <xdr:cxnSp macro="">
      <xdr:nvCxnSpPr>
        <xdr:cNvPr id="55" name="Rechte verbindingslijn met pijl 54">
          <a:extLst>
            <a:ext uri="{FF2B5EF4-FFF2-40B4-BE49-F238E27FC236}">
              <a16:creationId xmlns:a16="http://schemas.microsoft.com/office/drawing/2014/main" id="{F1956637-FB86-4C90-97C4-FF5AD7C0E0BA}"/>
            </a:ext>
          </a:extLst>
        </xdr:cNvPr>
        <xdr:cNvCxnSpPr/>
      </xdr:nvCxnSpPr>
      <xdr:spPr>
        <a:xfrm>
          <a:off x="6188869" y="11025188"/>
          <a:ext cx="0" cy="81915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65</xdr:row>
      <xdr:rowOff>142875</xdr:rowOff>
    </xdr:from>
    <xdr:to>
      <xdr:col>12</xdr:col>
      <xdr:colOff>321469</xdr:colOff>
      <xdr:row>65</xdr:row>
      <xdr:rowOff>142875</xdr:rowOff>
    </xdr:to>
    <xdr:cxnSp macro="">
      <xdr:nvCxnSpPr>
        <xdr:cNvPr id="85" name="Rechte verbindingslijn met pijl 84">
          <a:extLst>
            <a:ext uri="{FF2B5EF4-FFF2-40B4-BE49-F238E27FC236}">
              <a16:creationId xmlns:a16="http://schemas.microsoft.com/office/drawing/2014/main" id="{87706E1F-83BB-4645-A653-DEF33C55C78B}"/>
            </a:ext>
          </a:extLst>
        </xdr:cNvPr>
        <xdr:cNvCxnSpPr/>
      </xdr:nvCxnSpPr>
      <xdr:spPr>
        <a:xfrm flipH="1">
          <a:off x="6084094" y="14704219"/>
          <a:ext cx="1762125"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303213</xdr:colOff>
      <xdr:row>64</xdr:row>
      <xdr:rowOff>6350</xdr:rowOff>
    </xdr:from>
    <xdr:to>
      <xdr:col>12</xdr:col>
      <xdr:colOff>303213</xdr:colOff>
      <xdr:row>65</xdr:row>
      <xdr:rowOff>153988</xdr:rowOff>
    </xdr:to>
    <xdr:cxnSp macro="">
      <xdr:nvCxnSpPr>
        <xdr:cNvPr id="88" name="Rechte verbindingslijn 87">
          <a:extLst>
            <a:ext uri="{FF2B5EF4-FFF2-40B4-BE49-F238E27FC236}">
              <a16:creationId xmlns:a16="http://schemas.microsoft.com/office/drawing/2014/main" id="{B2670D5E-D9B2-4F49-85EB-183D65AFAEBB}"/>
            </a:ext>
          </a:extLst>
        </xdr:cNvPr>
        <xdr:cNvCxnSpPr/>
      </xdr:nvCxnSpPr>
      <xdr:spPr>
        <a:xfrm>
          <a:off x="6989763" y="11938000"/>
          <a:ext cx="0" cy="338138"/>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285751</xdr:colOff>
      <xdr:row>27</xdr:row>
      <xdr:rowOff>0</xdr:rowOff>
    </xdr:from>
    <xdr:to>
      <xdr:col>8</xdr:col>
      <xdr:colOff>285751</xdr:colOff>
      <xdr:row>65</xdr:row>
      <xdr:rowOff>11907</xdr:rowOff>
    </xdr:to>
    <xdr:cxnSp macro="">
      <xdr:nvCxnSpPr>
        <xdr:cNvPr id="97" name="Rechte verbindingslijn met pijl 96">
          <a:extLst>
            <a:ext uri="{FF2B5EF4-FFF2-40B4-BE49-F238E27FC236}">
              <a16:creationId xmlns:a16="http://schemas.microsoft.com/office/drawing/2014/main" id="{55C32849-C76B-49B3-9C3C-74FACC0ED07E}"/>
            </a:ext>
          </a:extLst>
        </xdr:cNvPr>
        <xdr:cNvCxnSpPr/>
      </xdr:nvCxnSpPr>
      <xdr:spPr>
        <a:xfrm>
          <a:off x="4410076" y="5724525"/>
          <a:ext cx="0" cy="6746082"/>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319881</xdr:colOff>
      <xdr:row>66</xdr:row>
      <xdr:rowOff>14816</xdr:rowOff>
    </xdr:from>
    <xdr:to>
      <xdr:col>8</xdr:col>
      <xdr:colOff>319881</xdr:colOff>
      <xdr:row>70</xdr:row>
      <xdr:rowOff>2116</xdr:rowOff>
    </xdr:to>
    <xdr:cxnSp macro="">
      <xdr:nvCxnSpPr>
        <xdr:cNvPr id="101" name="Rechte verbindingslijn met pijl 100">
          <a:extLst>
            <a:ext uri="{FF2B5EF4-FFF2-40B4-BE49-F238E27FC236}">
              <a16:creationId xmlns:a16="http://schemas.microsoft.com/office/drawing/2014/main" id="{DD7CECC4-5151-42BB-8D41-A99E77C53928}"/>
            </a:ext>
          </a:extLst>
        </xdr:cNvPr>
        <xdr:cNvCxnSpPr/>
      </xdr:nvCxnSpPr>
      <xdr:spPr>
        <a:xfrm>
          <a:off x="4680214" y="12513733"/>
          <a:ext cx="0" cy="67521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314274</xdr:colOff>
      <xdr:row>9</xdr:row>
      <xdr:rowOff>126046</xdr:rowOff>
    </xdr:from>
    <xdr:to>
      <xdr:col>9</xdr:col>
      <xdr:colOff>314274</xdr:colOff>
      <xdr:row>19</xdr:row>
      <xdr:rowOff>11906</xdr:rowOff>
    </xdr:to>
    <xdr:cxnSp macro="">
      <xdr:nvCxnSpPr>
        <xdr:cNvPr id="12" name="Rechte verbindingslijn met pijl 11">
          <a:extLst>
            <a:ext uri="{FF2B5EF4-FFF2-40B4-BE49-F238E27FC236}">
              <a16:creationId xmlns:a16="http://schemas.microsoft.com/office/drawing/2014/main" id="{06E4FF16-1B5A-462F-987F-E8F22EF46D57}"/>
            </a:ext>
          </a:extLst>
        </xdr:cNvPr>
        <xdr:cNvCxnSpPr/>
      </xdr:nvCxnSpPr>
      <xdr:spPr>
        <a:xfrm>
          <a:off x="5442018" y="2687053"/>
          <a:ext cx="0" cy="158747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319087</xdr:colOff>
      <xdr:row>36</xdr:row>
      <xdr:rowOff>16668</xdr:rowOff>
    </xdr:from>
    <xdr:to>
      <xdr:col>12</xdr:col>
      <xdr:colOff>323850</xdr:colOff>
      <xdr:row>37</xdr:row>
      <xdr:rowOff>21430</xdr:rowOff>
    </xdr:to>
    <xdr:cxnSp macro="">
      <xdr:nvCxnSpPr>
        <xdr:cNvPr id="25" name="Rechte verbindingslijn met pijl 24">
          <a:extLst>
            <a:ext uri="{FF2B5EF4-FFF2-40B4-BE49-F238E27FC236}">
              <a16:creationId xmlns:a16="http://schemas.microsoft.com/office/drawing/2014/main" id="{A51210D9-1CCC-4CAD-9CF8-6403A5144119}"/>
            </a:ext>
          </a:extLst>
        </xdr:cNvPr>
        <xdr:cNvCxnSpPr/>
      </xdr:nvCxnSpPr>
      <xdr:spPr>
        <a:xfrm flipH="1">
          <a:off x="6212681" y="9184481"/>
          <a:ext cx="4763" cy="195262"/>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345281</xdr:colOff>
      <xdr:row>21</xdr:row>
      <xdr:rowOff>102391</xdr:rowOff>
    </xdr:from>
    <xdr:to>
      <xdr:col>12</xdr:col>
      <xdr:colOff>0</xdr:colOff>
      <xdr:row>21</xdr:row>
      <xdr:rowOff>102391</xdr:rowOff>
    </xdr:to>
    <xdr:cxnSp macro="">
      <xdr:nvCxnSpPr>
        <xdr:cNvPr id="27" name="Rechte verbindingslijn 26">
          <a:extLst>
            <a:ext uri="{FF2B5EF4-FFF2-40B4-BE49-F238E27FC236}">
              <a16:creationId xmlns:a16="http://schemas.microsoft.com/office/drawing/2014/main" id="{4F58B51B-D527-46FE-A54B-71D437E76D13}"/>
            </a:ext>
          </a:extLst>
        </xdr:cNvPr>
        <xdr:cNvCxnSpPr/>
      </xdr:nvCxnSpPr>
      <xdr:spPr>
        <a:xfrm>
          <a:off x="4488656" y="5650704"/>
          <a:ext cx="1559719" cy="0"/>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346083</xdr:colOff>
      <xdr:row>9</xdr:row>
      <xdr:rowOff>167459</xdr:rowOff>
    </xdr:from>
    <xdr:to>
      <xdr:col>10</xdr:col>
      <xdr:colOff>350845</xdr:colOff>
      <xdr:row>27</xdr:row>
      <xdr:rowOff>167459</xdr:rowOff>
    </xdr:to>
    <xdr:cxnSp macro="">
      <xdr:nvCxnSpPr>
        <xdr:cNvPr id="34" name="Rechte verbindingslijn met pijl 33">
          <a:extLst>
            <a:ext uri="{FF2B5EF4-FFF2-40B4-BE49-F238E27FC236}">
              <a16:creationId xmlns:a16="http://schemas.microsoft.com/office/drawing/2014/main" id="{88B1AFAB-EC63-43CC-9F78-4F92FDE06C89}"/>
            </a:ext>
          </a:extLst>
        </xdr:cNvPr>
        <xdr:cNvCxnSpPr/>
      </xdr:nvCxnSpPr>
      <xdr:spPr>
        <a:xfrm flipH="1">
          <a:off x="5967534" y="2361611"/>
          <a:ext cx="4762" cy="309562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21431</xdr:colOff>
      <xdr:row>35</xdr:row>
      <xdr:rowOff>104775</xdr:rowOff>
    </xdr:from>
    <xdr:to>
      <xdr:col>11</xdr:col>
      <xdr:colOff>578644</xdr:colOff>
      <xdr:row>35</xdr:row>
      <xdr:rowOff>104775</xdr:rowOff>
    </xdr:to>
    <xdr:cxnSp macro="">
      <xdr:nvCxnSpPr>
        <xdr:cNvPr id="47" name="Rechte verbindingslijn met pijl 46">
          <a:extLst>
            <a:ext uri="{FF2B5EF4-FFF2-40B4-BE49-F238E27FC236}">
              <a16:creationId xmlns:a16="http://schemas.microsoft.com/office/drawing/2014/main" id="{10CC1DE6-D3CA-49E6-97A2-885986E2814B}"/>
            </a:ext>
          </a:extLst>
        </xdr:cNvPr>
        <xdr:cNvCxnSpPr/>
      </xdr:nvCxnSpPr>
      <xdr:spPr>
        <a:xfrm>
          <a:off x="5331619" y="9082088"/>
          <a:ext cx="557213"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23812</xdr:colOff>
      <xdr:row>26</xdr:row>
      <xdr:rowOff>116680</xdr:rowOff>
    </xdr:from>
    <xdr:to>
      <xdr:col>8</xdr:col>
      <xdr:colOff>9525</xdr:colOff>
      <xdr:row>26</xdr:row>
      <xdr:rowOff>116680</xdr:rowOff>
    </xdr:to>
    <xdr:cxnSp macro="">
      <xdr:nvCxnSpPr>
        <xdr:cNvPr id="60" name="Rechte verbindingslijn met pijl 59">
          <a:extLst>
            <a:ext uri="{FF2B5EF4-FFF2-40B4-BE49-F238E27FC236}">
              <a16:creationId xmlns:a16="http://schemas.microsoft.com/office/drawing/2014/main" id="{4FC5D221-3713-4707-BDEA-4F125A32F43D}"/>
            </a:ext>
          </a:extLst>
        </xdr:cNvPr>
        <xdr:cNvCxnSpPr/>
      </xdr:nvCxnSpPr>
      <xdr:spPr>
        <a:xfrm>
          <a:off x="2919412" y="5650705"/>
          <a:ext cx="1214438"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297656</xdr:colOff>
      <xdr:row>48</xdr:row>
      <xdr:rowOff>178594</xdr:rowOff>
    </xdr:from>
    <xdr:to>
      <xdr:col>12</xdr:col>
      <xdr:colOff>307181</xdr:colOff>
      <xdr:row>62</xdr:row>
      <xdr:rowOff>178593</xdr:rowOff>
    </xdr:to>
    <xdr:cxnSp macro="">
      <xdr:nvCxnSpPr>
        <xdr:cNvPr id="83" name="Rechte verbindingslijn met pijl 82">
          <a:extLst>
            <a:ext uri="{FF2B5EF4-FFF2-40B4-BE49-F238E27FC236}">
              <a16:creationId xmlns:a16="http://schemas.microsoft.com/office/drawing/2014/main" id="{51C4F544-3FB7-49AD-A6C4-281C8DBFDFD0}"/>
            </a:ext>
          </a:extLst>
        </xdr:cNvPr>
        <xdr:cNvCxnSpPr/>
      </xdr:nvCxnSpPr>
      <xdr:spPr>
        <a:xfrm flipH="1">
          <a:off x="6750844" y="12013407"/>
          <a:ext cx="9525" cy="215503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19</xdr:row>
      <xdr:rowOff>83343</xdr:rowOff>
    </xdr:from>
    <xdr:to>
      <xdr:col>15</xdr:col>
      <xdr:colOff>298450</xdr:colOff>
      <xdr:row>19</xdr:row>
      <xdr:rowOff>83343</xdr:rowOff>
    </xdr:to>
    <xdr:cxnSp macro="">
      <xdr:nvCxnSpPr>
        <xdr:cNvPr id="96" name="Rechte verbindingslijn 95">
          <a:extLst>
            <a:ext uri="{FF2B5EF4-FFF2-40B4-BE49-F238E27FC236}">
              <a16:creationId xmlns:a16="http://schemas.microsoft.com/office/drawing/2014/main" id="{0F177227-3773-40F8-9C82-CAD419AB0644}"/>
            </a:ext>
          </a:extLst>
        </xdr:cNvPr>
        <xdr:cNvCxnSpPr/>
      </xdr:nvCxnSpPr>
      <xdr:spPr>
        <a:xfrm flipH="1">
          <a:off x="5638800" y="4020343"/>
          <a:ext cx="2921000" cy="0"/>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280987</xdr:colOff>
      <xdr:row>19</xdr:row>
      <xdr:rowOff>69850</xdr:rowOff>
    </xdr:from>
    <xdr:to>
      <xdr:col>15</xdr:col>
      <xdr:colOff>280987</xdr:colOff>
      <xdr:row>47</xdr:row>
      <xdr:rowOff>190499</xdr:rowOff>
    </xdr:to>
    <xdr:cxnSp macro="">
      <xdr:nvCxnSpPr>
        <xdr:cNvPr id="100" name="Rechte verbindingslijn met pijl 99">
          <a:extLst>
            <a:ext uri="{FF2B5EF4-FFF2-40B4-BE49-F238E27FC236}">
              <a16:creationId xmlns:a16="http://schemas.microsoft.com/office/drawing/2014/main" id="{4159FD01-4236-4231-8F67-8AEFAC7FEC42}"/>
            </a:ext>
          </a:extLst>
        </xdr:cNvPr>
        <xdr:cNvCxnSpPr/>
      </xdr:nvCxnSpPr>
      <xdr:spPr>
        <a:xfrm>
          <a:off x="8542337" y="4006850"/>
          <a:ext cx="0" cy="501014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25614</xdr:colOff>
      <xdr:row>48</xdr:row>
      <xdr:rowOff>95250</xdr:rowOff>
    </xdr:from>
    <xdr:to>
      <xdr:col>15</xdr:col>
      <xdr:colOff>23813</xdr:colOff>
      <xdr:row>48</xdr:row>
      <xdr:rowOff>95250</xdr:rowOff>
    </xdr:to>
    <xdr:cxnSp macro="">
      <xdr:nvCxnSpPr>
        <xdr:cNvPr id="103" name="Rechte verbindingslijn met pijl 102">
          <a:extLst>
            <a:ext uri="{FF2B5EF4-FFF2-40B4-BE49-F238E27FC236}">
              <a16:creationId xmlns:a16="http://schemas.microsoft.com/office/drawing/2014/main" id="{F50DC13C-412C-445C-84F9-47A56875C312}"/>
            </a:ext>
          </a:extLst>
        </xdr:cNvPr>
        <xdr:cNvCxnSpPr/>
      </xdr:nvCxnSpPr>
      <xdr:spPr>
        <a:xfrm>
          <a:off x="8843042" y="9469771"/>
          <a:ext cx="343982"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269767</xdr:colOff>
      <xdr:row>48</xdr:row>
      <xdr:rowOff>178594</xdr:rowOff>
    </xdr:from>
    <xdr:to>
      <xdr:col>15</xdr:col>
      <xdr:colOff>269767</xdr:colOff>
      <xdr:row>50</xdr:row>
      <xdr:rowOff>136071</xdr:rowOff>
    </xdr:to>
    <xdr:cxnSp macro="">
      <xdr:nvCxnSpPr>
        <xdr:cNvPr id="105" name="Rechte verbindingslijn met pijl 104">
          <a:extLst>
            <a:ext uri="{FF2B5EF4-FFF2-40B4-BE49-F238E27FC236}">
              <a16:creationId xmlns:a16="http://schemas.microsoft.com/office/drawing/2014/main" id="{49A0B046-44F2-4078-9BC0-92A657BEF765}"/>
            </a:ext>
          </a:extLst>
        </xdr:cNvPr>
        <xdr:cNvCxnSpPr/>
      </xdr:nvCxnSpPr>
      <xdr:spPr>
        <a:xfrm>
          <a:off x="8366017" y="9040246"/>
          <a:ext cx="0" cy="331673"/>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333374</xdr:colOff>
      <xdr:row>19</xdr:row>
      <xdr:rowOff>178594</xdr:rowOff>
    </xdr:from>
    <xdr:to>
      <xdr:col>9</xdr:col>
      <xdr:colOff>333374</xdr:colOff>
      <xdr:row>21</xdr:row>
      <xdr:rowOff>107156</xdr:rowOff>
    </xdr:to>
    <xdr:cxnSp macro="">
      <xdr:nvCxnSpPr>
        <xdr:cNvPr id="109" name="Rechte verbindingslijn 108">
          <a:extLst>
            <a:ext uri="{FF2B5EF4-FFF2-40B4-BE49-F238E27FC236}">
              <a16:creationId xmlns:a16="http://schemas.microsoft.com/office/drawing/2014/main" id="{0011806C-0965-491F-8D64-82328721A261}"/>
            </a:ext>
          </a:extLst>
        </xdr:cNvPr>
        <xdr:cNvCxnSpPr/>
      </xdr:nvCxnSpPr>
      <xdr:spPr>
        <a:xfrm>
          <a:off x="5024437" y="5345907"/>
          <a:ext cx="0" cy="309562"/>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321468</xdr:colOff>
      <xdr:row>17</xdr:row>
      <xdr:rowOff>80211</xdr:rowOff>
    </xdr:from>
    <xdr:to>
      <xdr:col>7</xdr:col>
      <xdr:colOff>321468</xdr:colOff>
      <xdr:row>55</xdr:row>
      <xdr:rowOff>11906</xdr:rowOff>
    </xdr:to>
    <xdr:cxnSp macro="">
      <xdr:nvCxnSpPr>
        <xdr:cNvPr id="111" name="Rechte verbindingslijn 110">
          <a:extLst>
            <a:ext uri="{FF2B5EF4-FFF2-40B4-BE49-F238E27FC236}">
              <a16:creationId xmlns:a16="http://schemas.microsoft.com/office/drawing/2014/main" id="{349E0980-18E2-4C78-BEF7-B798EE81E9DD}"/>
            </a:ext>
          </a:extLst>
        </xdr:cNvPr>
        <xdr:cNvCxnSpPr/>
      </xdr:nvCxnSpPr>
      <xdr:spPr>
        <a:xfrm>
          <a:off x="4125739" y="3964692"/>
          <a:ext cx="0" cy="6554793"/>
        </a:xfrm>
        <a:prstGeom prst="line">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11906</xdr:colOff>
      <xdr:row>55</xdr:row>
      <xdr:rowOff>80963</xdr:rowOff>
    </xdr:from>
    <xdr:to>
      <xdr:col>12</xdr:col>
      <xdr:colOff>321469</xdr:colOff>
      <xdr:row>55</xdr:row>
      <xdr:rowOff>80963</xdr:rowOff>
    </xdr:to>
    <xdr:cxnSp macro="">
      <xdr:nvCxnSpPr>
        <xdr:cNvPr id="123" name="Rechte verbindingslijn met pijl 122">
          <a:extLst>
            <a:ext uri="{FF2B5EF4-FFF2-40B4-BE49-F238E27FC236}">
              <a16:creationId xmlns:a16="http://schemas.microsoft.com/office/drawing/2014/main" id="{07EDD920-77F2-4489-A98A-910A0B6D4A92}"/>
            </a:ext>
          </a:extLst>
        </xdr:cNvPr>
        <xdr:cNvCxnSpPr/>
      </xdr:nvCxnSpPr>
      <xdr:spPr>
        <a:xfrm>
          <a:off x="6953250" y="13308807"/>
          <a:ext cx="892969"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55</xdr:row>
      <xdr:rowOff>90488</xdr:rowOff>
    </xdr:from>
    <xdr:to>
      <xdr:col>10</xdr:col>
      <xdr:colOff>0</xdr:colOff>
      <xdr:row>55</xdr:row>
      <xdr:rowOff>90488</xdr:rowOff>
    </xdr:to>
    <xdr:cxnSp macro="">
      <xdr:nvCxnSpPr>
        <xdr:cNvPr id="126" name="Rechte verbindingslijn met pijl 125">
          <a:extLst>
            <a:ext uri="{FF2B5EF4-FFF2-40B4-BE49-F238E27FC236}">
              <a16:creationId xmlns:a16="http://schemas.microsoft.com/office/drawing/2014/main" id="{47FFD29F-DA1C-4287-B039-EFDE37D86211}"/>
            </a:ext>
          </a:extLst>
        </xdr:cNvPr>
        <xdr:cNvCxnSpPr/>
      </xdr:nvCxnSpPr>
      <xdr:spPr>
        <a:xfrm>
          <a:off x="4010025" y="13318332"/>
          <a:ext cx="2324100"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644247</xdr:colOff>
      <xdr:row>63</xdr:row>
      <xdr:rowOff>9525</xdr:rowOff>
    </xdr:from>
    <xdr:to>
      <xdr:col>4</xdr:col>
      <xdr:colOff>646628</xdr:colOff>
      <xdr:row>65</xdr:row>
      <xdr:rowOff>136629</xdr:rowOff>
    </xdr:to>
    <xdr:cxnSp macro="">
      <xdr:nvCxnSpPr>
        <xdr:cNvPr id="134" name="Rechte verbindingslijn 133">
          <a:extLst>
            <a:ext uri="{FF2B5EF4-FFF2-40B4-BE49-F238E27FC236}">
              <a16:creationId xmlns:a16="http://schemas.microsoft.com/office/drawing/2014/main" id="{B1617074-E1DD-46DF-8664-39F7352C13E4}"/>
            </a:ext>
          </a:extLst>
        </xdr:cNvPr>
        <xdr:cNvCxnSpPr/>
      </xdr:nvCxnSpPr>
      <xdr:spPr>
        <a:xfrm>
          <a:off x="4027012" y="12194502"/>
          <a:ext cx="2381" cy="513371"/>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649631</xdr:colOff>
      <xdr:row>65</xdr:row>
      <xdr:rowOff>116682</xdr:rowOff>
    </xdr:from>
    <xdr:to>
      <xdr:col>8</xdr:col>
      <xdr:colOff>0</xdr:colOff>
      <xdr:row>65</xdr:row>
      <xdr:rowOff>116682</xdr:rowOff>
    </xdr:to>
    <xdr:cxnSp macro="">
      <xdr:nvCxnSpPr>
        <xdr:cNvPr id="135" name="Rechte verbindingslijn met pijl 134">
          <a:extLst>
            <a:ext uri="{FF2B5EF4-FFF2-40B4-BE49-F238E27FC236}">
              <a16:creationId xmlns:a16="http://schemas.microsoft.com/office/drawing/2014/main" id="{CFEA740E-A509-4283-B980-7214E4C43662}"/>
            </a:ext>
          </a:extLst>
        </xdr:cNvPr>
        <xdr:cNvCxnSpPr/>
      </xdr:nvCxnSpPr>
      <xdr:spPr>
        <a:xfrm flipH="1">
          <a:off x="4032396" y="12687926"/>
          <a:ext cx="953963" cy="0"/>
        </a:xfrm>
        <a:prstGeom prst="straightConnector1">
          <a:avLst/>
        </a:prstGeom>
        <a:ln w="38100">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347663</xdr:colOff>
      <xdr:row>29</xdr:row>
      <xdr:rowOff>0</xdr:rowOff>
    </xdr:from>
    <xdr:to>
      <xdr:col>10</xdr:col>
      <xdr:colOff>347663</xdr:colOff>
      <xdr:row>32</xdr:row>
      <xdr:rowOff>176213</xdr:rowOff>
    </xdr:to>
    <xdr:cxnSp macro="">
      <xdr:nvCxnSpPr>
        <xdr:cNvPr id="138" name="Rechte verbindingslijn met pijl 137">
          <a:extLst>
            <a:ext uri="{FF2B5EF4-FFF2-40B4-BE49-F238E27FC236}">
              <a16:creationId xmlns:a16="http://schemas.microsoft.com/office/drawing/2014/main" id="{F504CE14-D636-42CC-8DFD-737E5D016C10}"/>
            </a:ext>
          </a:extLst>
        </xdr:cNvPr>
        <xdr:cNvCxnSpPr/>
      </xdr:nvCxnSpPr>
      <xdr:spPr>
        <a:xfrm>
          <a:off x="5925080" y="5947833"/>
          <a:ext cx="0" cy="652463"/>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357187</xdr:colOff>
      <xdr:row>33</xdr:row>
      <xdr:rowOff>188119</xdr:rowOff>
    </xdr:from>
    <xdr:to>
      <xdr:col>10</xdr:col>
      <xdr:colOff>361950</xdr:colOff>
      <xdr:row>35</xdr:row>
      <xdr:rowOff>2381</xdr:rowOff>
    </xdr:to>
    <xdr:cxnSp macro="">
      <xdr:nvCxnSpPr>
        <xdr:cNvPr id="139" name="Rechte verbindingslijn met pijl 138">
          <a:extLst>
            <a:ext uri="{FF2B5EF4-FFF2-40B4-BE49-F238E27FC236}">
              <a16:creationId xmlns:a16="http://schemas.microsoft.com/office/drawing/2014/main" id="{BB0EFB70-73FD-4ED1-98CB-442F9419299B}"/>
            </a:ext>
          </a:extLst>
        </xdr:cNvPr>
        <xdr:cNvCxnSpPr/>
      </xdr:nvCxnSpPr>
      <xdr:spPr>
        <a:xfrm flipH="1">
          <a:off x="5631656" y="8784432"/>
          <a:ext cx="4763" cy="195262"/>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361950</xdr:colOff>
      <xdr:row>37</xdr:row>
      <xdr:rowOff>178594</xdr:rowOff>
    </xdr:from>
    <xdr:to>
      <xdr:col>10</xdr:col>
      <xdr:colOff>361950</xdr:colOff>
      <xdr:row>38</xdr:row>
      <xdr:rowOff>188119</xdr:rowOff>
    </xdr:to>
    <xdr:cxnSp macro="">
      <xdr:nvCxnSpPr>
        <xdr:cNvPr id="140" name="Rechte verbindingslijn met pijl 139">
          <a:extLst>
            <a:ext uri="{FF2B5EF4-FFF2-40B4-BE49-F238E27FC236}">
              <a16:creationId xmlns:a16="http://schemas.microsoft.com/office/drawing/2014/main" id="{08546065-D2EB-48A1-AAEF-F928F313CDE9}"/>
            </a:ext>
          </a:extLst>
        </xdr:cNvPr>
        <xdr:cNvCxnSpPr/>
      </xdr:nvCxnSpPr>
      <xdr:spPr>
        <a:xfrm>
          <a:off x="5636419" y="9536907"/>
          <a:ext cx="0" cy="20002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352425</xdr:colOff>
      <xdr:row>39</xdr:row>
      <xdr:rowOff>178594</xdr:rowOff>
    </xdr:from>
    <xdr:to>
      <xdr:col>10</xdr:col>
      <xdr:colOff>352425</xdr:colOff>
      <xdr:row>42</xdr:row>
      <xdr:rowOff>35719</xdr:rowOff>
    </xdr:to>
    <xdr:cxnSp macro="">
      <xdr:nvCxnSpPr>
        <xdr:cNvPr id="141" name="Rechte verbindingslijn met pijl 140">
          <a:extLst>
            <a:ext uri="{FF2B5EF4-FFF2-40B4-BE49-F238E27FC236}">
              <a16:creationId xmlns:a16="http://schemas.microsoft.com/office/drawing/2014/main" id="{56391A39-595A-4C6E-9CDD-1F47C59DF95D}"/>
            </a:ext>
          </a:extLst>
        </xdr:cNvPr>
        <xdr:cNvCxnSpPr/>
      </xdr:nvCxnSpPr>
      <xdr:spPr>
        <a:xfrm>
          <a:off x="5626894" y="9917907"/>
          <a:ext cx="0" cy="61912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361950</xdr:colOff>
      <xdr:row>42</xdr:row>
      <xdr:rowOff>188119</xdr:rowOff>
    </xdr:from>
    <xdr:to>
      <xdr:col>10</xdr:col>
      <xdr:colOff>361950</xdr:colOff>
      <xdr:row>44</xdr:row>
      <xdr:rowOff>0</xdr:rowOff>
    </xdr:to>
    <xdr:cxnSp macro="">
      <xdr:nvCxnSpPr>
        <xdr:cNvPr id="142" name="Rechte verbindingslijn met pijl 141">
          <a:extLst>
            <a:ext uri="{FF2B5EF4-FFF2-40B4-BE49-F238E27FC236}">
              <a16:creationId xmlns:a16="http://schemas.microsoft.com/office/drawing/2014/main" id="{189E66B4-B137-4523-990F-226C809B612A}"/>
            </a:ext>
          </a:extLst>
        </xdr:cNvPr>
        <xdr:cNvCxnSpPr/>
      </xdr:nvCxnSpPr>
      <xdr:spPr>
        <a:xfrm>
          <a:off x="5636419" y="10689432"/>
          <a:ext cx="0" cy="20002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342900</xdr:colOff>
      <xdr:row>44</xdr:row>
      <xdr:rowOff>0</xdr:rowOff>
    </xdr:from>
    <xdr:to>
      <xdr:col>10</xdr:col>
      <xdr:colOff>342900</xdr:colOff>
      <xdr:row>47</xdr:row>
      <xdr:rowOff>178594</xdr:rowOff>
    </xdr:to>
    <xdr:cxnSp macro="">
      <xdr:nvCxnSpPr>
        <xdr:cNvPr id="143" name="Rechte verbindingslijn met pijl 142">
          <a:extLst>
            <a:ext uri="{FF2B5EF4-FFF2-40B4-BE49-F238E27FC236}">
              <a16:creationId xmlns:a16="http://schemas.microsoft.com/office/drawing/2014/main" id="{72451B52-2A59-44BB-B67A-E60F5D4A2E1A}"/>
            </a:ext>
          </a:extLst>
        </xdr:cNvPr>
        <xdr:cNvCxnSpPr/>
      </xdr:nvCxnSpPr>
      <xdr:spPr>
        <a:xfrm>
          <a:off x="5617369" y="11003757"/>
          <a:ext cx="0" cy="81915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366712</xdr:colOff>
      <xdr:row>35</xdr:row>
      <xdr:rowOff>185737</xdr:rowOff>
    </xdr:from>
    <xdr:to>
      <xdr:col>10</xdr:col>
      <xdr:colOff>371475</xdr:colOff>
      <xdr:row>37</xdr:row>
      <xdr:rowOff>-1</xdr:rowOff>
    </xdr:to>
    <xdr:cxnSp macro="">
      <xdr:nvCxnSpPr>
        <xdr:cNvPr id="144" name="Rechte verbindingslijn met pijl 143">
          <a:extLst>
            <a:ext uri="{FF2B5EF4-FFF2-40B4-BE49-F238E27FC236}">
              <a16:creationId xmlns:a16="http://schemas.microsoft.com/office/drawing/2014/main" id="{02A2E6E7-AAF2-4FF0-8686-E096E23EC1E1}"/>
            </a:ext>
          </a:extLst>
        </xdr:cNvPr>
        <xdr:cNvCxnSpPr/>
      </xdr:nvCxnSpPr>
      <xdr:spPr>
        <a:xfrm flipH="1">
          <a:off x="5641181" y="9163050"/>
          <a:ext cx="4763" cy="195262"/>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314326</xdr:colOff>
      <xdr:row>8</xdr:row>
      <xdr:rowOff>98961</xdr:rowOff>
    </xdr:from>
    <xdr:to>
      <xdr:col>8</xdr:col>
      <xdr:colOff>314326</xdr:colOff>
      <xdr:row>26</xdr:row>
      <xdr:rowOff>9525</xdr:rowOff>
    </xdr:to>
    <xdr:cxnSp macro="">
      <xdr:nvCxnSpPr>
        <xdr:cNvPr id="4" name="Rechte verbindingslijn met pijl 3">
          <a:extLst>
            <a:ext uri="{FF2B5EF4-FFF2-40B4-BE49-F238E27FC236}">
              <a16:creationId xmlns:a16="http://schemas.microsoft.com/office/drawing/2014/main" id="{AB467839-6AB2-437A-BFC9-8FA632B94A32}"/>
            </a:ext>
          </a:extLst>
        </xdr:cNvPr>
        <xdr:cNvCxnSpPr/>
      </xdr:nvCxnSpPr>
      <xdr:spPr>
        <a:xfrm>
          <a:off x="4674659" y="2130961"/>
          <a:ext cx="0" cy="325489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68036</xdr:colOff>
      <xdr:row>17</xdr:row>
      <xdr:rowOff>98990</xdr:rowOff>
    </xdr:from>
    <xdr:to>
      <xdr:col>7</xdr:col>
      <xdr:colOff>332300</xdr:colOff>
      <xdr:row>17</xdr:row>
      <xdr:rowOff>98990</xdr:rowOff>
    </xdr:to>
    <xdr:cxnSp macro="">
      <xdr:nvCxnSpPr>
        <xdr:cNvPr id="3" name="Rechte verbindingslijn 26">
          <a:extLst>
            <a:ext uri="{FF2B5EF4-FFF2-40B4-BE49-F238E27FC236}">
              <a16:creationId xmlns:a16="http://schemas.microsoft.com/office/drawing/2014/main" id="{BDD091A7-9934-4B32-900F-512966754250}"/>
            </a:ext>
          </a:extLst>
        </xdr:cNvPr>
        <xdr:cNvCxnSpPr/>
      </xdr:nvCxnSpPr>
      <xdr:spPr>
        <a:xfrm>
          <a:off x="3625332" y="3704883"/>
          <a:ext cx="585004" cy="0"/>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277604</xdr:colOff>
      <xdr:row>9</xdr:row>
      <xdr:rowOff>121908</xdr:rowOff>
    </xdr:from>
    <xdr:to>
      <xdr:col>9</xdr:col>
      <xdr:colOff>582529</xdr:colOff>
      <xdr:row>9</xdr:row>
      <xdr:rowOff>121908</xdr:rowOff>
    </xdr:to>
    <xdr:cxnSp macro="">
      <xdr:nvCxnSpPr>
        <xdr:cNvPr id="6" name="Rechte verbindingslijn 26">
          <a:extLst>
            <a:ext uri="{FF2B5EF4-FFF2-40B4-BE49-F238E27FC236}">
              <a16:creationId xmlns:a16="http://schemas.microsoft.com/office/drawing/2014/main" id="{2E0FE95E-4960-4F48-98AA-8D65B0E68595}"/>
            </a:ext>
          </a:extLst>
        </xdr:cNvPr>
        <xdr:cNvCxnSpPr/>
      </xdr:nvCxnSpPr>
      <xdr:spPr>
        <a:xfrm>
          <a:off x="3169740" y="2338635"/>
          <a:ext cx="2435062" cy="0"/>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646553</xdr:colOff>
      <xdr:row>8</xdr:row>
      <xdr:rowOff>84980</xdr:rowOff>
    </xdr:from>
    <xdr:to>
      <xdr:col>8</xdr:col>
      <xdr:colOff>331063</xdr:colOff>
      <xdr:row>8</xdr:row>
      <xdr:rowOff>84980</xdr:rowOff>
    </xdr:to>
    <xdr:cxnSp macro="">
      <xdr:nvCxnSpPr>
        <xdr:cNvPr id="11" name="Rechte verbindingslijn 26">
          <a:extLst>
            <a:ext uri="{FF2B5EF4-FFF2-40B4-BE49-F238E27FC236}">
              <a16:creationId xmlns:a16="http://schemas.microsoft.com/office/drawing/2014/main" id="{6C664217-6FB9-4EEA-8EEB-E435B1C8AAB1}"/>
            </a:ext>
          </a:extLst>
        </xdr:cNvPr>
        <xdr:cNvCxnSpPr/>
      </xdr:nvCxnSpPr>
      <xdr:spPr>
        <a:xfrm>
          <a:off x="3534978" y="2119866"/>
          <a:ext cx="1193666" cy="0"/>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176212</xdr:colOff>
      <xdr:row>18</xdr:row>
      <xdr:rowOff>185737</xdr:rowOff>
    </xdr:from>
    <xdr:to>
      <xdr:col>18</xdr:col>
      <xdr:colOff>442912</xdr:colOff>
      <xdr:row>33</xdr:row>
      <xdr:rowOff>71437</xdr:rowOff>
    </xdr:to>
    <xdr:graphicFrame macro="">
      <xdr:nvGraphicFramePr>
        <xdr:cNvPr id="3" name="Grafiek 2">
          <a:extLst>
            <a:ext uri="{FF2B5EF4-FFF2-40B4-BE49-F238E27FC236}">
              <a16:creationId xmlns:a16="http://schemas.microsoft.com/office/drawing/2014/main" id="{4FDBEBC0-0F2F-4B6D-8A75-5C4F296764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280987</xdr:colOff>
      <xdr:row>36</xdr:row>
      <xdr:rowOff>14287</xdr:rowOff>
    </xdr:from>
    <xdr:to>
      <xdr:col>22</xdr:col>
      <xdr:colOff>585787</xdr:colOff>
      <xdr:row>50</xdr:row>
      <xdr:rowOff>90487</xdr:rowOff>
    </xdr:to>
    <xdr:graphicFrame macro="">
      <xdr:nvGraphicFramePr>
        <xdr:cNvPr id="4" name="Grafiek 3">
          <a:extLst>
            <a:ext uri="{FF2B5EF4-FFF2-40B4-BE49-F238E27FC236}">
              <a16:creationId xmlns:a16="http://schemas.microsoft.com/office/drawing/2014/main" id="{BC6F07EE-E2BC-157F-65B7-D45A2F4BE3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5FEC8B5-53A0-4460-B341-7B82ED075016}" name="Tabel1" displayName="Tabel1" ref="F20:H25" totalsRowShown="0">
  <autoFilter ref="F20:H25" xr:uid="{65FEC8B5-53A0-4460-B341-7B82ED075016}"/>
  <tableColumns count="3">
    <tableColumn id="1" xr3:uid="{EEA14193-7043-4859-A957-936CD7250ADB}" name="W/K">
      <calculatedColumnFormula>Blad1!C3</calculatedColumnFormula>
    </tableColumn>
    <tableColumn id="2" xr3:uid="{54F6CE00-B5A3-453B-9B76-36C38D47185A}" name="kWh/m2">
      <calculatedColumnFormula>Blad1!N3</calculatedColumnFormula>
    </tableColumn>
    <tableColumn id="3" xr3:uid="{BA6D90EE-D424-4098-BC63-4B7E5594FEC2}" name="verhouding">
      <calculatedColumnFormula>Blad1!V3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DCAF2-71B4-40E0-829E-9AE80F0BC80F}">
  <dimension ref="A1:C19"/>
  <sheetViews>
    <sheetView workbookViewId="0">
      <selection activeCell="L24" sqref="L24"/>
    </sheetView>
  </sheetViews>
  <sheetFormatPr defaultRowHeight="15" x14ac:dyDescent="0.25"/>
  <cols>
    <col min="1" max="1" width="23.7109375" customWidth="1"/>
  </cols>
  <sheetData>
    <row r="1" spans="1:3" x14ac:dyDescent="0.25">
      <c r="A1" t="s">
        <v>43</v>
      </c>
    </row>
    <row r="3" spans="1:3" x14ac:dyDescent="0.25">
      <c r="A3" s="56" t="s">
        <v>86</v>
      </c>
      <c r="B3">
        <v>1</v>
      </c>
    </row>
    <row r="4" spans="1:3" x14ac:dyDescent="0.25">
      <c r="A4" s="56" t="s">
        <v>88</v>
      </c>
      <c r="B4" t="s">
        <v>87</v>
      </c>
    </row>
    <row r="5" spans="1:3" x14ac:dyDescent="0.25">
      <c r="A5" s="56" t="s">
        <v>84</v>
      </c>
      <c r="B5">
        <v>108</v>
      </c>
      <c r="C5" t="s">
        <v>58</v>
      </c>
    </row>
    <row r="7" spans="1:3" x14ac:dyDescent="0.25">
      <c r="A7" s="56" t="s">
        <v>91</v>
      </c>
    </row>
    <row r="9" spans="1:3" x14ac:dyDescent="0.25">
      <c r="A9" t="s">
        <v>63</v>
      </c>
    </row>
    <row r="10" spans="1:3" x14ac:dyDescent="0.25">
      <c r="A10" s="56" t="s">
        <v>80</v>
      </c>
      <c r="B10">
        <v>2800</v>
      </c>
    </row>
    <row r="11" spans="1:3" x14ac:dyDescent="0.25">
      <c r="A11" s="56" t="s">
        <v>81</v>
      </c>
      <c r="B11">
        <v>1900</v>
      </c>
    </row>
    <row r="12" spans="1:3" x14ac:dyDescent="0.25">
      <c r="A12" s="56" t="s">
        <v>82</v>
      </c>
      <c r="B12">
        <v>2500</v>
      </c>
    </row>
    <row r="13" spans="1:3" x14ac:dyDescent="0.25">
      <c r="A13" s="56" t="s">
        <v>85</v>
      </c>
      <c r="B13">
        <f>AVERAGE(B10:B12)</f>
        <v>2400</v>
      </c>
    </row>
    <row r="14" spans="1:3" x14ac:dyDescent="0.25">
      <c r="A14" s="56"/>
    </row>
    <row r="15" spans="1:3" x14ac:dyDescent="0.25">
      <c r="A15" t="s">
        <v>83</v>
      </c>
    </row>
    <row r="16" spans="1:3" x14ac:dyDescent="0.25">
      <c r="A16" s="56" t="s">
        <v>80</v>
      </c>
      <c r="B16">
        <v>2800</v>
      </c>
    </row>
    <row r="17" spans="1:2" x14ac:dyDescent="0.25">
      <c r="A17" s="56" t="s">
        <v>81</v>
      </c>
      <c r="B17">
        <v>3200</v>
      </c>
    </row>
    <row r="18" spans="1:2" x14ac:dyDescent="0.25">
      <c r="A18" s="56" t="s">
        <v>82</v>
      </c>
      <c r="B18">
        <v>3000</v>
      </c>
    </row>
    <row r="19" spans="1:2" x14ac:dyDescent="0.25">
      <c r="A19" s="56" t="s">
        <v>85</v>
      </c>
      <c r="B19">
        <f>AVERAGE(B16:B18)</f>
        <v>3000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18534-3708-4692-826B-257DFE7AD364}">
  <dimension ref="A1:A15"/>
  <sheetViews>
    <sheetView workbookViewId="0">
      <selection activeCell="A15" sqref="A15"/>
    </sheetView>
  </sheetViews>
  <sheetFormatPr defaultRowHeight="15" x14ac:dyDescent="0.25"/>
  <cols>
    <col min="1" max="1" width="105.5703125" customWidth="1"/>
  </cols>
  <sheetData>
    <row r="1" spans="1:1" ht="44.25" customHeight="1" x14ac:dyDescent="0.25">
      <c r="A1" s="191" t="s">
        <v>168</v>
      </c>
    </row>
    <row r="3" spans="1:1" ht="30" x14ac:dyDescent="0.25">
      <c r="A3" s="192" t="s">
        <v>251</v>
      </c>
    </row>
    <row r="5" spans="1:1" ht="15.75" x14ac:dyDescent="0.25">
      <c r="A5" s="188" t="s">
        <v>250</v>
      </c>
    </row>
    <row r="6" spans="1:1" ht="15.75" x14ac:dyDescent="0.25">
      <c r="A6" s="190" t="s">
        <v>245</v>
      </c>
    </row>
    <row r="7" spans="1:1" ht="15.75" x14ac:dyDescent="0.25">
      <c r="A7" s="190" t="s">
        <v>246</v>
      </c>
    </row>
    <row r="8" spans="1:1" ht="15.75" x14ac:dyDescent="0.25">
      <c r="A8" s="190" t="s">
        <v>247</v>
      </c>
    </row>
    <row r="9" spans="1:1" ht="15.75" x14ac:dyDescent="0.25">
      <c r="A9" s="190" t="s">
        <v>248</v>
      </c>
    </row>
    <row r="10" spans="1:1" ht="15.75" x14ac:dyDescent="0.25">
      <c r="A10" s="190" t="s">
        <v>249</v>
      </c>
    </row>
    <row r="13" spans="1:1" ht="30" x14ac:dyDescent="0.25">
      <c r="A13" s="198" t="s">
        <v>243</v>
      </c>
    </row>
    <row r="14" spans="1:1" ht="15.75" x14ac:dyDescent="0.25">
      <c r="A14" s="188"/>
    </row>
    <row r="15" spans="1:1" ht="47.25" x14ac:dyDescent="0.25">
      <c r="A15" s="194" t="s">
        <v>244</v>
      </c>
    </row>
  </sheetData>
  <sheetProtection algorithmName="SHA-512" hashValue="WP8pQfUGnfHVlAPoEuRq9puUAZbUIBRtG2UWQJHRAMwoQQAwyBtFF6paovV/P2w8VZ6rUDin7f10dyJT4q3Czw==" saltValue="yhalDU+qsdLc5LAd6vXc5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258C7-500D-4942-A954-D155EEFDE975}">
  <sheetPr>
    <pageSetUpPr fitToPage="1"/>
  </sheetPr>
  <dimension ref="A1:BV70"/>
  <sheetViews>
    <sheetView topLeftCell="A29" zoomScaleNormal="100" workbookViewId="0">
      <selection activeCell="T44" sqref="T44"/>
    </sheetView>
  </sheetViews>
  <sheetFormatPr defaultRowHeight="15" x14ac:dyDescent="0.25"/>
  <cols>
    <col min="1" max="1" width="41.5703125" customWidth="1"/>
    <col min="2" max="2" width="20.85546875" customWidth="1"/>
    <col min="3" max="74" width="2.7109375" customWidth="1"/>
  </cols>
  <sheetData>
    <row r="1" spans="1:74" ht="28.5" customHeight="1" x14ac:dyDescent="0.5">
      <c r="A1" s="25" t="s">
        <v>73</v>
      </c>
    </row>
    <row r="2" spans="1:74" s="4" customFormat="1" ht="130.5" customHeight="1" x14ac:dyDescent="0.25">
      <c r="AR2" s="13" t="s">
        <v>20</v>
      </c>
      <c r="BB2" s="13" t="s">
        <v>18</v>
      </c>
      <c r="BL2" s="13" t="s">
        <v>19</v>
      </c>
      <c r="BV2" s="13" t="s">
        <v>17</v>
      </c>
    </row>
    <row r="3" spans="1:74" s="3" customFormat="1" ht="26.25" customHeight="1" thickBot="1" x14ac:dyDescent="0.3">
      <c r="A3" s="5"/>
      <c r="B3" s="6" t="s">
        <v>2</v>
      </c>
      <c r="C3" s="19">
        <v>1979</v>
      </c>
      <c r="D3" s="19">
        <v>1980</v>
      </c>
      <c r="E3" s="19">
        <v>1981</v>
      </c>
      <c r="F3" s="19">
        <v>1982</v>
      </c>
      <c r="G3" s="19">
        <v>1983</v>
      </c>
      <c r="H3" s="19">
        <v>1984</v>
      </c>
      <c r="I3" s="19">
        <v>1985</v>
      </c>
      <c r="J3" s="19">
        <v>1986</v>
      </c>
      <c r="K3" s="19">
        <v>1987</v>
      </c>
      <c r="L3" s="19">
        <v>1988</v>
      </c>
      <c r="M3" s="19">
        <v>1989</v>
      </c>
      <c r="N3" s="19">
        <v>1990</v>
      </c>
      <c r="O3" s="19">
        <v>1991</v>
      </c>
      <c r="P3" s="19">
        <v>1992</v>
      </c>
      <c r="Q3" s="19">
        <v>1993</v>
      </c>
      <c r="R3" s="19">
        <v>1994</v>
      </c>
      <c r="S3" s="19">
        <v>1995</v>
      </c>
      <c r="T3" s="19">
        <v>1996</v>
      </c>
      <c r="U3" s="19">
        <v>1997</v>
      </c>
      <c r="V3" s="19">
        <v>1998</v>
      </c>
      <c r="W3" s="19">
        <v>1999</v>
      </c>
      <c r="X3" s="19">
        <v>2000</v>
      </c>
      <c r="Y3" s="19">
        <v>2001</v>
      </c>
      <c r="Z3" s="19">
        <v>2002</v>
      </c>
      <c r="AA3" s="19">
        <v>2003</v>
      </c>
      <c r="AB3" s="19">
        <v>2004</v>
      </c>
      <c r="AC3" s="19">
        <v>2005</v>
      </c>
      <c r="AD3" s="19">
        <v>2006</v>
      </c>
      <c r="AE3" s="19">
        <v>2007</v>
      </c>
      <c r="AF3" s="19">
        <v>2008</v>
      </c>
      <c r="AG3" s="19">
        <v>2009</v>
      </c>
      <c r="AH3" s="19">
        <v>2010</v>
      </c>
      <c r="AI3" s="19">
        <v>2011</v>
      </c>
      <c r="AJ3" s="19">
        <v>2012</v>
      </c>
      <c r="AK3" s="19">
        <v>2013</v>
      </c>
      <c r="AL3" s="19">
        <v>2014</v>
      </c>
      <c r="AM3" s="19">
        <v>2015</v>
      </c>
      <c r="AN3" s="19">
        <v>2016</v>
      </c>
      <c r="AO3" s="19">
        <v>2017</v>
      </c>
      <c r="AP3" s="19">
        <v>2018</v>
      </c>
      <c r="AQ3" s="19">
        <v>2019</v>
      </c>
      <c r="AR3" s="20">
        <v>2020</v>
      </c>
      <c r="AS3" s="21">
        <v>2021</v>
      </c>
      <c r="AT3" s="19">
        <v>2022</v>
      </c>
      <c r="AU3" s="19">
        <v>2023</v>
      </c>
      <c r="AV3" s="19">
        <v>2024</v>
      </c>
      <c r="AW3" s="19">
        <v>2025</v>
      </c>
      <c r="AX3" s="19">
        <v>2026</v>
      </c>
      <c r="AY3" s="19">
        <v>2027</v>
      </c>
      <c r="AZ3" s="19">
        <v>2028</v>
      </c>
      <c r="BA3" s="19">
        <v>2029</v>
      </c>
      <c r="BB3" s="20">
        <v>2030</v>
      </c>
      <c r="BC3" s="21">
        <v>2031</v>
      </c>
      <c r="BD3" s="19">
        <v>2032</v>
      </c>
      <c r="BE3" s="19">
        <v>2033</v>
      </c>
      <c r="BF3" s="19">
        <v>2034</v>
      </c>
      <c r="BG3" s="19">
        <v>2035</v>
      </c>
      <c r="BH3" s="19">
        <v>2036</v>
      </c>
      <c r="BI3" s="19">
        <v>2037</v>
      </c>
      <c r="BJ3" s="19">
        <v>2038</v>
      </c>
      <c r="BK3" s="19">
        <v>2039</v>
      </c>
      <c r="BL3" s="20">
        <v>2040</v>
      </c>
      <c r="BM3" s="21">
        <v>2041</v>
      </c>
      <c r="BN3" s="19">
        <v>2042</v>
      </c>
      <c r="BO3" s="19">
        <v>2043</v>
      </c>
      <c r="BP3" s="19">
        <v>2044</v>
      </c>
      <c r="BQ3" s="19">
        <v>2045</v>
      </c>
      <c r="BR3" s="19">
        <v>2046</v>
      </c>
      <c r="BS3" s="19">
        <v>2047</v>
      </c>
      <c r="BT3" s="19">
        <v>2048</v>
      </c>
      <c r="BU3" s="19">
        <v>2049</v>
      </c>
      <c r="BV3" s="20">
        <v>2050</v>
      </c>
    </row>
    <row r="4" spans="1:74" x14ac:dyDescent="0.25">
      <c r="A4" s="6"/>
      <c r="B4" s="12"/>
      <c r="C4" s="18"/>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7"/>
      <c r="AS4" s="18"/>
      <c r="AT4" s="16"/>
      <c r="AU4" s="16"/>
      <c r="AV4" s="16"/>
      <c r="AW4" s="16"/>
      <c r="AX4" s="16"/>
      <c r="AY4" s="16"/>
      <c r="AZ4" s="16"/>
      <c r="BA4" s="16"/>
      <c r="BB4" s="17"/>
      <c r="BC4" s="18"/>
      <c r="BD4" s="16"/>
      <c r="BE4" s="16"/>
      <c r="BF4" s="16"/>
      <c r="BG4" s="16"/>
      <c r="BH4" s="16"/>
      <c r="BI4" s="16"/>
      <c r="BJ4" s="16"/>
      <c r="BK4" s="16"/>
      <c r="BL4" s="17"/>
      <c r="BM4" s="18"/>
      <c r="BN4" s="16"/>
      <c r="BO4" s="16"/>
      <c r="BP4" s="16"/>
      <c r="BQ4" s="16"/>
      <c r="BR4" s="16"/>
      <c r="BS4" s="16"/>
      <c r="BT4" s="16"/>
      <c r="BU4" s="16"/>
      <c r="BV4" s="17"/>
    </row>
    <row r="5" spans="1:74" ht="18.75" x14ac:dyDescent="0.3">
      <c r="A5" s="52" t="s">
        <v>74</v>
      </c>
      <c r="B5" s="12"/>
      <c r="C5" s="18"/>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7"/>
      <c r="AS5" s="18"/>
      <c r="AT5" s="16"/>
      <c r="AU5" s="16"/>
      <c r="AV5" s="16"/>
      <c r="AW5" s="16"/>
      <c r="AX5" s="16"/>
      <c r="AY5" s="16"/>
      <c r="AZ5" s="16"/>
      <c r="BA5" s="16"/>
      <c r="BB5" s="17"/>
      <c r="BC5" s="18"/>
      <c r="BD5" s="16"/>
      <c r="BE5" s="16"/>
      <c r="BF5" s="16"/>
      <c r="BG5" s="16"/>
      <c r="BH5" s="16"/>
      <c r="BI5" s="16"/>
      <c r="BJ5" s="16"/>
      <c r="BK5" s="16"/>
      <c r="BL5" s="17"/>
      <c r="BM5" s="18"/>
      <c r="BN5" s="16"/>
      <c r="BO5" s="16"/>
      <c r="BP5" s="16"/>
      <c r="BQ5" s="16"/>
      <c r="BR5" s="16"/>
      <c r="BS5" s="16"/>
      <c r="BT5" s="16"/>
      <c r="BU5" s="16"/>
      <c r="BV5" s="17"/>
    </row>
    <row r="6" spans="1:74" x14ac:dyDescent="0.25">
      <c r="A6" s="6"/>
      <c r="B6" s="12"/>
      <c r="C6" s="18"/>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7"/>
      <c r="AS6" s="18"/>
      <c r="AT6" s="16"/>
      <c r="AU6" s="16"/>
      <c r="AV6" s="16"/>
      <c r="AW6" s="16"/>
      <c r="AX6" s="16"/>
      <c r="AY6" s="16"/>
      <c r="AZ6" s="16"/>
      <c r="BA6" s="16"/>
      <c r="BB6" s="17"/>
      <c r="BC6" s="18"/>
      <c r="BD6" s="16"/>
      <c r="BE6" s="16"/>
      <c r="BF6" s="16"/>
      <c r="BG6" s="16"/>
      <c r="BH6" s="16"/>
      <c r="BI6" s="16"/>
      <c r="BJ6" s="16"/>
      <c r="BK6" s="16"/>
      <c r="BL6" s="17"/>
      <c r="BM6" s="18"/>
      <c r="BN6" s="16"/>
      <c r="BO6" s="16"/>
      <c r="BP6" s="16"/>
      <c r="BQ6" s="16"/>
      <c r="BR6" s="16"/>
      <c r="BS6" s="16"/>
      <c r="BT6" s="16"/>
      <c r="BU6" s="16"/>
      <c r="BV6" s="17"/>
    </row>
    <row r="7" spans="1:74" x14ac:dyDescent="0.25">
      <c r="A7" s="6" t="s">
        <v>3</v>
      </c>
      <c r="B7" s="12" t="s">
        <v>8</v>
      </c>
      <c r="C7" s="11"/>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6"/>
      <c r="AI7" s="6"/>
      <c r="AJ7" s="6"/>
      <c r="AK7" s="6"/>
      <c r="AL7" s="6"/>
      <c r="AM7" s="6"/>
      <c r="AN7" s="6"/>
      <c r="AO7" s="6"/>
      <c r="AP7" s="6"/>
      <c r="AQ7" s="6"/>
      <c r="AR7" s="14"/>
      <c r="AS7" s="10"/>
      <c r="AT7" s="6"/>
      <c r="AU7" s="6"/>
      <c r="AV7" s="6"/>
      <c r="AW7" s="6"/>
      <c r="AX7" s="6"/>
      <c r="AY7" s="6"/>
      <c r="AZ7" s="6"/>
      <c r="BA7" s="6"/>
      <c r="BB7" s="14"/>
      <c r="BC7" s="10"/>
      <c r="BD7" s="6"/>
      <c r="BE7" s="6"/>
      <c r="BF7" s="6"/>
      <c r="BG7" s="6"/>
      <c r="BH7" s="6"/>
      <c r="BI7" s="6"/>
      <c r="BJ7" s="6"/>
      <c r="BK7" s="6"/>
      <c r="BL7" s="14"/>
      <c r="BM7" s="10"/>
      <c r="BN7" s="6"/>
      <c r="BO7" s="6"/>
      <c r="BP7" s="6"/>
      <c r="BQ7" s="6"/>
      <c r="BR7" s="6"/>
      <c r="BS7" s="6"/>
      <c r="BT7" s="6"/>
      <c r="BU7" s="6"/>
      <c r="BV7" s="14"/>
    </row>
    <row r="8" spans="1:74" x14ac:dyDescent="0.25">
      <c r="A8" s="6"/>
      <c r="B8" s="12"/>
      <c r="C8" s="10"/>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14"/>
      <c r="AS8" s="10"/>
      <c r="AT8" s="6"/>
      <c r="AU8" s="6"/>
      <c r="AV8" s="6"/>
      <c r="AW8" s="6"/>
      <c r="AX8" s="6"/>
      <c r="AY8" s="6"/>
      <c r="AZ8" s="6"/>
      <c r="BA8" s="6"/>
      <c r="BB8" s="14"/>
      <c r="BC8" s="10"/>
      <c r="BD8" s="6"/>
      <c r="BE8" s="6"/>
      <c r="BF8" s="6"/>
      <c r="BG8" s="6"/>
      <c r="BH8" s="6"/>
      <c r="BI8" s="6"/>
      <c r="BJ8" s="6"/>
      <c r="BK8" s="6"/>
      <c r="BL8" s="14"/>
      <c r="BM8" s="10"/>
      <c r="BN8" s="6"/>
      <c r="BO8" s="6"/>
      <c r="BP8" s="6"/>
      <c r="BQ8" s="6"/>
      <c r="BR8" s="6"/>
      <c r="BS8" s="6"/>
      <c r="BT8" s="6"/>
      <c r="BU8" s="6"/>
      <c r="BV8" s="14"/>
    </row>
    <row r="9" spans="1:74" x14ac:dyDescent="0.25">
      <c r="A9" s="6" t="s">
        <v>32</v>
      </c>
      <c r="B9" s="12" t="s">
        <v>28</v>
      </c>
      <c r="C9" s="11"/>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15"/>
      <c r="AS9" s="11"/>
      <c r="AT9" s="7"/>
      <c r="AU9" s="7"/>
      <c r="AV9" s="7"/>
      <c r="AW9" s="7"/>
      <c r="AX9" s="7"/>
      <c r="AY9" s="7"/>
      <c r="AZ9" s="7"/>
      <c r="BA9" s="7"/>
      <c r="BB9" s="15"/>
      <c r="BC9" s="11"/>
      <c r="BD9" s="7"/>
      <c r="BE9" s="7"/>
      <c r="BF9" s="7"/>
      <c r="BG9" s="7"/>
      <c r="BH9" s="7"/>
      <c r="BI9" s="7"/>
      <c r="BJ9" s="7"/>
      <c r="BK9" s="7"/>
      <c r="BL9" s="15"/>
      <c r="BM9" s="11"/>
      <c r="BN9" s="7"/>
      <c r="BO9" s="7"/>
      <c r="BP9" s="7"/>
      <c r="BQ9" s="7"/>
      <c r="BR9" s="7"/>
      <c r="BS9" s="7"/>
      <c r="BT9" s="7"/>
      <c r="BU9" s="7"/>
      <c r="BV9" s="15"/>
    </row>
    <row r="10" spans="1:74" x14ac:dyDescent="0.25">
      <c r="A10" s="6"/>
      <c r="B10" s="12"/>
      <c r="C10" s="10"/>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14"/>
      <c r="AS10" s="10"/>
      <c r="AT10" s="6"/>
      <c r="AU10" s="6"/>
      <c r="AV10" s="6"/>
      <c r="AW10" s="6"/>
      <c r="AX10" s="6"/>
      <c r="AY10" s="6"/>
      <c r="AZ10" s="6"/>
      <c r="BA10" s="6"/>
      <c r="BB10" s="14"/>
      <c r="BC10" s="10"/>
      <c r="BD10" s="6"/>
      <c r="BE10" s="6"/>
      <c r="BF10" s="6"/>
      <c r="BG10" s="6"/>
      <c r="BH10" s="6"/>
      <c r="BI10" s="6"/>
      <c r="BJ10" s="6"/>
      <c r="BK10" s="6"/>
      <c r="BL10" s="14"/>
      <c r="BM10" s="10"/>
      <c r="BN10" s="6"/>
      <c r="BO10" s="6"/>
      <c r="BP10" s="6"/>
      <c r="BQ10" s="6"/>
      <c r="BR10" s="6"/>
      <c r="BS10" s="6"/>
      <c r="BT10" s="6"/>
      <c r="BU10" s="6"/>
      <c r="BV10" s="14"/>
    </row>
    <row r="11" spans="1:74" x14ac:dyDescent="0.25">
      <c r="A11" s="6" t="s">
        <v>5</v>
      </c>
      <c r="B11" s="12" t="s">
        <v>9</v>
      </c>
      <c r="C11" s="11"/>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14"/>
      <c r="AS11" s="10"/>
      <c r="AT11" s="6"/>
      <c r="AU11" s="6"/>
      <c r="AV11" s="6"/>
      <c r="AW11" s="6"/>
      <c r="AX11" s="6"/>
      <c r="AY11" s="6"/>
      <c r="AZ11" s="6"/>
      <c r="BA11" s="6"/>
      <c r="BB11" s="14"/>
      <c r="BC11" s="10"/>
      <c r="BD11" s="6"/>
      <c r="BE11" s="6"/>
      <c r="BF11" s="6"/>
      <c r="BG11" s="6"/>
      <c r="BH11" s="6"/>
      <c r="BI11" s="6"/>
      <c r="BJ11" s="6"/>
      <c r="BK11" s="6"/>
      <c r="BL11" s="14"/>
      <c r="BM11" s="10"/>
      <c r="BN11" s="6"/>
      <c r="BO11" s="6"/>
      <c r="BP11" s="6"/>
      <c r="BQ11" s="6"/>
      <c r="BR11" s="6"/>
      <c r="BS11" s="6"/>
      <c r="BT11" s="6"/>
      <c r="BU11" s="6"/>
      <c r="BV11" s="14"/>
    </row>
    <row r="12" spans="1:74" x14ac:dyDescent="0.25">
      <c r="A12" s="6"/>
      <c r="B12" s="12"/>
      <c r="C12" s="10"/>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14"/>
      <c r="AS12" s="10"/>
      <c r="AT12" s="6"/>
      <c r="AU12" s="6"/>
      <c r="AV12" s="6"/>
      <c r="AW12" s="6"/>
      <c r="AX12" s="6"/>
      <c r="AY12" s="6"/>
      <c r="AZ12" s="6"/>
      <c r="BA12" s="6"/>
      <c r="BB12" s="14"/>
      <c r="BC12" s="10"/>
      <c r="BD12" s="6"/>
      <c r="BE12" s="6"/>
      <c r="BF12" s="6"/>
      <c r="BG12" s="6"/>
      <c r="BH12" s="6"/>
      <c r="BI12" s="6"/>
      <c r="BJ12" s="6"/>
      <c r="BK12" s="6"/>
      <c r="BL12" s="14"/>
      <c r="BM12" s="10"/>
      <c r="BN12" s="6"/>
      <c r="BO12" s="6"/>
      <c r="BP12" s="6"/>
      <c r="BQ12" s="6"/>
      <c r="BR12" s="6"/>
      <c r="BS12" s="6"/>
      <c r="BT12" s="6"/>
      <c r="BU12" s="6"/>
      <c r="BV12" s="14"/>
    </row>
    <row r="13" spans="1:74" x14ac:dyDescent="0.25">
      <c r="A13" s="6" t="s">
        <v>10</v>
      </c>
      <c r="B13" s="12" t="s">
        <v>4</v>
      </c>
      <c r="C13" s="11"/>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6"/>
      <c r="AI13" s="6"/>
      <c r="AJ13" s="6"/>
      <c r="AK13" s="6"/>
      <c r="AL13" s="6"/>
      <c r="AM13" s="6"/>
      <c r="AN13" s="6"/>
      <c r="AO13" s="6"/>
      <c r="AP13" s="6"/>
      <c r="AQ13" s="6"/>
      <c r="AR13" s="14"/>
      <c r="AS13" s="10"/>
      <c r="AT13" s="6"/>
      <c r="AU13" s="6"/>
      <c r="AV13" s="6"/>
      <c r="AW13" s="6"/>
      <c r="AX13" s="6"/>
      <c r="AY13" s="6"/>
      <c r="AZ13" s="6"/>
      <c r="BA13" s="6"/>
      <c r="BB13" s="14"/>
      <c r="BC13" s="10"/>
      <c r="BD13" s="6"/>
      <c r="BE13" s="6"/>
      <c r="BF13" s="6"/>
      <c r="BG13" s="6"/>
      <c r="BH13" s="6"/>
      <c r="BI13" s="6"/>
      <c r="BJ13" s="6"/>
      <c r="BK13" s="6"/>
      <c r="BL13" s="14"/>
      <c r="BM13" s="10"/>
      <c r="BN13" s="6"/>
      <c r="BO13" s="6"/>
      <c r="BP13" s="6"/>
      <c r="BQ13" s="6"/>
      <c r="BR13" s="6"/>
      <c r="BS13" s="6"/>
      <c r="BT13" s="6"/>
      <c r="BU13" s="6"/>
      <c r="BV13" s="14"/>
    </row>
    <row r="14" spans="1:74" x14ac:dyDescent="0.25">
      <c r="A14" s="6"/>
      <c r="B14" s="12"/>
      <c r="C14" s="10"/>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14"/>
      <c r="AS14" s="10"/>
      <c r="AT14" s="6"/>
      <c r="AU14" s="6"/>
      <c r="AV14" s="6"/>
      <c r="AW14" s="6"/>
      <c r="AX14" s="6"/>
      <c r="AY14" s="6"/>
      <c r="AZ14" s="6"/>
      <c r="BA14" s="6"/>
      <c r="BB14" s="14"/>
      <c r="BC14" s="10"/>
      <c r="BD14" s="6"/>
      <c r="BE14" s="6"/>
      <c r="BF14" s="6"/>
      <c r="BG14" s="6"/>
      <c r="BH14" s="6"/>
      <c r="BI14" s="6"/>
      <c r="BJ14" s="6"/>
      <c r="BK14" s="6"/>
      <c r="BL14" s="14"/>
      <c r="BM14" s="10"/>
      <c r="BN14" s="6"/>
      <c r="BO14" s="6"/>
      <c r="BP14" s="6"/>
      <c r="BQ14" s="6"/>
      <c r="BR14" s="6"/>
      <c r="BS14" s="6"/>
      <c r="BT14" s="6"/>
      <c r="BU14" s="6"/>
      <c r="BV14" s="14"/>
    </row>
    <row r="15" spans="1:74" x14ac:dyDescent="0.25">
      <c r="A15" s="6" t="s">
        <v>27</v>
      </c>
      <c r="B15" s="12" t="s">
        <v>29</v>
      </c>
      <c r="C15" s="11"/>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6"/>
      <c r="AI15" s="6"/>
      <c r="AJ15" s="6"/>
      <c r="AK15" s="6"/>
      <c r="AL15" s="6"/>
      <c r="AM15" s="6"/>
      <c r="AN15" s="6"/>
      <c r="AO15" s="6"/>
      <c r="AP15" s="6"/>
      <c r="AQ15" s="6"/>
      <c r="AR15" s="14"/>
      <c r="AS15" s="10"/>
      <c r="AT15" s="6"/>
      <c r="AU15" s="6"/>
      <c r="AV15" s="6"/>
      <c r="AW15" s="6"/>
      <c r="AX15" s="6"/>
      <c r="AY15" s="6"/>
      <c r="AZ15" s="6"/>
      <c r="BA15" s="6"/>
      <c r="BB15" s="14"/>
      <c r="BC15" s="10"/>
      <c r="BD15" s="6"/>
      <c r="BE15" s="6"/>
      <c r="BF15" s="6"/>
      <c r="BG15" s="6"/>
      <c r="BH15" s="6"/>
      <c r="BI15" s="6"/>
      <c r="BJ15" s="6"/>
      <c r="BK15" s="6"/>
      <c r="BL15" s="14"/>
      <c r="BM15" s="10"/>
      <c r="BN15" s="6"/>
      <c r="BO15" s="6"/>
      <c r="BP15" s="6"/>
      <c r="BQ15" s="6"/>
      <c r="BR15" s="6"/>
      <c r="BS15" s="6"/>
      <c r="BT15" s="6"/>
      <c r="BU15" s="6"/>
      <c r="BV15" s="14"/>
    </row>
    <row r="16" spans="1:74" x14ac:dyDescent="0.25">
      <c r="A16" s="8"/>
      <c r="B16" s="12"/>
      <c r="C16" s="10"/>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14"/>
      <c r="AS16" s="10"/>
      <c r="AT16" s="6"/>
      <c r="AU16" s="6"/>
      <c r="AV16" s="6"/>
      <c r="AW16" s="6"/>
      <c r="AX16" s="6"/>
      <c r="AY16" s="6"/>
      <c r="AZ16" s="6"/>
      <c r="BA16" s="6"/>
      <c r="BB16" s="14"/>
      <c r="BC16" s="10"/>
      <c r="BD16" s="6"/>
      <c r="BE16" s="6"/>
      <c r="BF16" s="6"/>
      <c r="BG16" s="6"/>
      <c r="BH16" s="6"/>
      <c r="BI16" s="6"/>
      <c r="BJ16" s="6"/>
      <c r="BK16" s="6"/>
      <c r="BL16" s="14"/>
      <c r="BM16" s="10"/>
      <c r="BN16" s="6"/>
      <c r="BO16" s="6"/>
      <c r="BP16" s="6"/>
      <c r="BQ16" s="6"/>
      <c r="BR16" s="6"/>
      <c r="BS16" s="6"/>
      <c r="BT16" s="6"/>
      <c r="BU16" s="6"/>
      <c r="BV16" s="14"/>
    </row>
    <row r="17" spans="1:74" x14ac:dyDescent="0.25">
      <c r="A17" s="6" t="s">
        <v>30</v>
      </c>
      <c r="B17" s="12" t="s">
        <v>31</v>
      </c>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6"/>
      <c r="AI17" s="6"/>
      <c r="AJ17" s="6"/>
      <c r="AK17" s="6"/>
      <c r="AL17" s="6"/>
      <c r="AM17" s="6"/>
      <c r="AN17" s="6"/>
      <c r="AO17" s="6"/>
      <c r="AP17" s="6"/>
      <c r="AQ17" s="6"/>
      <c r="AR17" s="14"/>
      <c r="AS17" s="10"/>
      <c r="AT17" s="6"/>
      <c r="AU17" s="6"/>
      <c r="AV17" s="6"/>
      <c r="AW17" s="6"/>
      <c r="AX17" s="6"/>
      <c r="AY17" s="6"/>
      <c r="AZ17" s="6"/>
      <c r="BA17" s="6"/>
      <c r="BB17" s="14"/>
      <c r="BC17" s="10"/>
      <c r="BD17" s="6"/>
      <c r="BE17" s="6"/>
      <c r="BF17" s="6"/>
      <c r="BG17" s="6"/>
      <c r="BH17" s="6"/>
      <c r="BI17" s="6"/>
      <c r="BJ17" s="6"/>
      <c r="BK17" s="6"/>
      <c r="BL17" s="14"/>
      <c r="BM17" s="10"/>
      <c r="BN17" s="6"/>
      <c r="BO17" s="6"/>
      <c r="BP17" s="6"/>
      <c r="BQ17" s="6"/>
      <c r="BR17" s="6"/>
      <c r="BS17" s="6"/>
      <c r="BT17" s="6"/>
      <c r="BU17" s="6"/>
      <c r="BV17" s="14"/>
    </row>
    <row r="18" spans="1:74" x14ac:dyDescent="0.25">
      <c r="A18" s="6"/>
      <c r="B18" s="12"/>
      <c r="C18" s="10"/>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14"/>
      <c r="AS18" s="10"/>
      <c r="AT18" s="6"/>
      <c r="AU18" s="6"/>
      <c r="AV18" s="6"/>
      <c r="AW18" s="6"/>
      <c r="AX18" s="6"/>
      <c r="AY18" s="6"/>
      <c r="AZ18" s="6"/>
      <c r="BA18" s="6"/>
      <c r="BB18" s="14"/>
      <c r="BC18" s="10"/>
      <c r="BD18" s="6"/>
      <c r="BE18" s="6"/>
      <c r="BF18" s="6"/>
      <c r="BG18" s="6"/>
      <c r="BH18" s="6"/>
      <c r="BI18" s="6"/>
      <c r="BJ18" s="6"/>
      <c r="BK18" s="6"/>
      <c r="BL18" s="14"/>
      <c r="BM18" s="10"/>
      <c r="BN18" s="6"/>
      <c r="BO18" s="6"/>
      <c r="BP18" s="6"/>
      <c r="BQ18" s="6"/>
      <c r="BR18" s="6"/>
      <c r="BS18" s="6"/>
      <c r="BT18" s="6"/>
      <c r="BU18" s="6"/>
      <c r="BV18" s="14"/>
    </row>
    <row r="19" spans="1:74" x14ac:dyDescent="0.25">
      <c r="A19" s="6" t="s">
        <v>11</v>
      </c>
      <c r="B19" s="12" t="s">
        <v>12</v>
      </c>
      <c r="C19" s="11"/>
      <c r="D19" s="7"/>
      <c r="E19" s="7"/>
      <c r="F19" s="7"/>
      <c r="G19" s="7"/>
      <c r="H19" s="7"/>
      <c r="I19" s="7"/>
      <c r="J19" s="7"/>
      <c r="K19" s="7"/>
      <c r="L19" s="7"/>
      <c r="M19" s="7"/>
      <c r="N19" s="7"/>
      <c r="O19" s="7"/>
      <c r="P19" s="7"/>
      <c r="Q19" s="7"/>
      <c r="R19" s="7"/>
      <c r="S19" s="7"/>
      <c r="T19" s="7"/>
      <c r="U19" s="7"/>
      <c r="V19" s="7"/>
      <c r="W19" s="7"/>
      <c r="X19" s="7"/>
      <c r="Y19" s="7"/>
      <c r="Z19" s="7"/>
      <c r="AA19" s="7"/>
      <c r="AB19" s="7"/>
      <c r="AC19" s="6"/>
      <c r="AD19" s="6"/>
      <c r="AE19" s="6"/>
      <c r="AF19" s="6"/>
      <c r="AG19" s="6"/>
      <c r="AH19" s="6"/>
      <c r="AI19" s="6"/>
      <c r="AJ19" s="6"/>
      <c r="AK19" s="6"/>
      <c r="AL19" s="6"/>
      <c r="AM19" s="6"/>
      <c r="AN19" s="6"/>
      <c r="AO19" s="6"/>
      <c r="AP19" s="6"/>
      <c r="AQ19" s="6"/>
      <c r="AR19" s="14"/>
      <c r="AS19" s="10"/>
      <c r="AT19" s="6"/>
      <c r="AU19" s="6"/>
      <c r="AV19" s="6"/>
      <c r="AW19" s="6"/>
      <c r="AX19" s="6"/>
      <c r="AY19" s="6"/>
      <c r="AZ19" s="6"/>
      <c r="BA19" s="6"/>
      <c r="BB19" s="14"/>
      <c r="BC19" s="10"/>
      <c r="BD19" s="6"/>
      <c r="BE19" s="6"/>
      <c r="BF19" s="6"/>
      <c r="BG19" s="6"/>
      <c r="BH19" s="6"/>
      <c r="BI19" s="6"/>
      <c r="BJ19" s="6"/>
      <c r="BK19" s="6"/>
      <c r="BL19" s="14"/>
      <c r="BM19" s="10"/>
      <c r="BN19" s="6"/>
      <c r="BO19" s="6"/>
      <c r="BP19" s="6"/>
      <c r="BQ19" s="6"/>
      <c r="BR19" s="6"/>
      <c r="BS19" s="6"/>
      <c r="BT19" s="6"/>
      <c r="BU19" s="6"/>
      <c r="BV19" s="14"/>
    </row>
    <row r="20" spans="1:74" x14ac:dyDescent="0.25">
      <c r="A20" s="24" t="s">
        <v>13</v>
      </c>
      <c r="B20" s="207" t="s">
        <v>24</v>
      </c>
      <c r="C20" s="22"/>
      <c r="D20" s="9"/>
      <c r="E20" s="9"/>
      <c r="F20" s="9"/>
      <c r="G20" s="9"/>
      <c r="H20" s="9"/>
      <c r="I20" s="9"/>
      <c r="J20" s="9"/>
      <c r="K20" s="9"/>
      <c r="L20" s="9"/>
      <c r="M20" s="9"/>
      <c r="N20" s="9"/>
      <c r="O20" s="9"/>
      <c r="P20" s="9"/>
      <c r="Q20" s="9"/>
      <c r="R20" s="9"/>
      <c r="S20" s="9"/>
      <c r="T20" s="9"/>
      <c r="U20" s="9"/>
      <c r="V20" s="9"/>
      <c r="W20" s="9"/>
      <c r="X20" s="9"/>
      <c r="Y20" s="9"/>
      <c r="Z20" s="9"/>
      <c r="AA20" s="9"/>
      <c r="AB20" s="9"/>
      <c r="AC20" s="6"/>
      <c r="AD20" s="6"/>
      <c r="AE20" s="6"/>
      <c r="AF20" s="6"/>
      <c r="AG20" s="6"/>
      <c r="AH20" s="6"/>
      <c r="AI20" s="6"/>
      <c r="AJ20" s="6"/>
      <c r="AK20" s="6"/>
      <c r="AL20" s="6"/>
      <c r="AM20" s="6"/>
      <c r="AN20" s="6"/>
      <c r="AO20" s="6"/>
      <c r="AP20" s="6"/>
      <c r="AQ20" s="6"/>
      <c r="AR20" s="14"/>
      <c r="AS20" s="10"/>
      <c r="AT20" s="6"/>
      <c r="AU20" s="6"/>
      <c r="AV20" s="6"/>
      <c r="AW20" s="6"/>
      <c r="AX20" s="6"/>
      <c r="AY20" s="6"/>
      <c r="AZ20" s="6"/>
      <c r="BA20" s="6"/>
      <c r="BB20" s="14"/>
      <c r="BC20" s="10"/>
      <c r="BD20" s="6"/>
      <c r="BE20" s="6"/>
      <c r="BF20" s="6"/>
      <c r="BG20" s="6"/>
      <c r="BH20" s="6"/>
      <c r="BI20" s="6"/>
      <c r="BJ20" s="6"/>
      <c r="BK20" s="6"/>
      <c r="BL20" s="14"/>
      <c r="BM20" s="10"/>
      <c r="BN20" s="6"/>
      <c r="BO20" s="6"/>
      <c r="BP20" s="6"/>
      <c r="BQ20" s="6"/>
      <c r="BR20" s="6"/>
      <c r="BS20" s="6"/>
      <c r="BT20" s="6"/>
      <c r="BU20" s="6"/>
      <c r="BV20" s="14"/>
    </row>
    <row r="21" spans="1:74" x14ac:dyDescent="0.25">
      <c r="A21" s="24" t="s">
        <v>14</v>
      </c>
      <c r="B21" s="208"/>
      <c r="C21" s="22"/>
      <c r="D21" s="9"/>
      <c r="E21" s="9"/>
      <c r="F21" s="9"/>
      <c r="G21" s="9"/>
      <c r="H21" s="9"/>
      <c r="I21" s="9"/>
      <c r="J21" s="9"/>
      <c r="K21" s="9"/>
      <c r="L21" s="9"/>
      <c r="M21" s="9"/>
      <c r="N21" s="9"/>
      <c r="O21" s="9"/>
      <c r="P21" s="9"/>
      <c r="Q21" s="9"/>
      <c r="R21" s="9"/>
      <c r="S21" s="9"/>
      <c r="T21" s="9"/>
      <c r="U21" s="9"/>
      <c r="V21" s="9"/>
      <c r="W21" s="9"/>
      <c r="X21" s="9"/>
      <c r="Y21" s="9"/>
      <c r="Z21" s="9"/>
      <c r="AA21" s="9"/>
      <c r="AB21" s="9"/>
      <c r="AC21" s="6"/>
      <c r="AD21" s="6"/>
      <c r="AE21" s="6"/>
      <c r="AF21" s="6"/>
      <c r="AG21" s="6"/>
      <c r="AH21" s="6"/>
      <c r="AI21" s="6"/>
      <c r="AJ21" s="6"/>
      <c r="AK21" s="6"/>
      <c r="AL21" s="6"/>
      <c r="AM21" s="6"/>
      <c r="AN21" s="6"/>
      <c r="AO21" s="6"/>
      <c r="AP21" s="6"/>
      <c r="AQ21" s="6"/>
      <c r="AR21" s="14"/>
      <c r="AS21" s="10"/>
      <c r="AT21" s="6"/>
      <c r="AU21" s="6"/>
      <c r="AV21" s="6"/>
      <c r="AW21" s="6"/>
      <c r="AX21" s="6"/>
      <c r="AY21" s="6"/>
      <c r="AZ21" s="6"/>
      <c r="BA21" s="6"/>
      <c r="BB21" s="14"/>
      <c r="BC21" s="10"/>
      <c r="BD21" s="6"/>
      <c r="BE21" s="6"/>
      <c r="BF21" s="6"/>
      <c r="BG21" s="6"/>
      <c r="BH21" s="6"/>
      <c r="BI21" s="6"/>
      <c r="BJ21" s="6"/>
      <c r="BK21" s="6"/>
      <c r="BL21" s="14"/>
      <c r="BM21" s="10"/>
      <c r="BN21" s="6"/>
      <c r="BO21" s="6"/>
      <c r="BP21" s="6"/>
      <c r="BQ21" s="6"/>
      <c r="BR21" s="6"/>
      <c r="BS21" s="6"/>
      <c r="BT21" s="6"/>
      <c r="BU21" s="6"/>
      <c r="BV21" s="14"/>
    </row>
    <row r="22" spans="1:74" x14ac:dyDescent="0.25">
      <c r="A22" s="24" t="s">
        <v>15</v>
      </c>
      <c r="B22" s="208"/>
      <c r="C22" s="22"/>
      <c r="D22" s="9"/>
      <c r="E22" s="9"/>
      <c r="F22" s="9"/>
      <c r="G22" s="9"/>
      <c r="H22" s="9"/>
      <c r="I22" s="9"/>
      <c r="J22" s="9"/>
      <c r="K22" s="9"/>
      <c r="L22" s="9"/>
      <c r="M22" s="9"/>
      <c r="N22" s="9"/>
      <c r="O22" s="9"/>
      <c r="P22" s="9"/>
      <c r="Q22" s="9"/>
      <c r="R22" s="9"/>
      <c r="S22" s="9"/>
      <c r="T22" s="9"/>
      <c r="U22" s="9"/>
      <c r="V22" s="9"/>
      <c r="W22" s="9"/>
      <c r="X22" s="9"/>
      <c r="Y22" s="9"/>
      <c r="Z22" s="9"/>
      <c r="AA22" s="9"/>
      <c r="AB22" s="9"/>
      <c r="AC22" s="6"/>
      <c r="AD22" s="6"/>
      <c r="AE22" s="6"/>
      <c r="AF22" s="6"/>
      <c r="AG22" s="6"/>
      <c r="AH22" s="6"/>
      <c r="AI22" s="6"/>
      <c r="AJ22" s="6"/>
      <c r="AK22" s="6"/>
      <c r="AL22" s="6"/>
      <c r="AM22" s="6"/>
      <c r="AN22" s="6"/>
      <c r="AO22" s="6"/>
      <c r="AP22" s="6"/>
      <c r="AQ22" s="6"/>
      <c r="AR22" s="14"/>
      <c r="AS22" s="10"/>
      <c r="AT22" s="6"/>
      <c r="AU22" s="6"/>
      <c r="AV22" s="6"/>
      <c r="AW22" s="6"/>
      <c r="AX22" s="6"/>
      <c r="AY22" s="6"/>
      <c r="AZ22" s="6"/>
      <c r="BA22" s="6"/>
      <c r="BB22" s="14"/>
      <c r="BC22" s="10"/>
      <c r="BD22" s="6"/>
      <c r="BE22" s="6"/>
      <c r="BF22" s="6"/>
      <c r="BG22" s="6"/>
      <c r="BH22" s="6"/>
      <c r="BI22" s="6"/>
      <c r="BJ22" s="6"/>
      <c r="BK22" s="6"/>
      <c r="BL22" s="14"/>
      <c r="BM22" s="10"/>
      <c r="BN22" s="6"/>
      <c r="BO22" s="6"/>
      <c r="BP22" s="6"/>
      <c r="BQ22" s="6"/>
      <c r="BR22" s="6"/>
      <c r="BS22" s="6"/>
      <c r="BT22" s="6"/>
      <c r="BU22" s="6"/>
      <c r="BV22" s="14"/>
    </row>
    <row r="23" spans="1:74" x14ac:dyDescent="0.25">
      <c r="A23" s="24" t="s">
        <v>16</v>
      </c>
      <c r="B23" s="208"/>
      <c r="C23" s="22"/>
      <c r="D23" s="9"/>
      <c r="E23" s="9"/>
      <c r="F23" s="9"/>
      <c r="G23" s="9"/>
      <c r="H23" s="9"/>
      <c r="I23" s="9"/>
      <c r="J23" s="9"/>
      <c r="K23" s="9"/>
      <c r="L23" s="9"/>
      <c r="M23" s="9"/>
      <c r="N23" s="9"/>
      <c r="O23" s="9"/>
      <c r="P23" s="9"/>
      <c r="Q23" s="9"/>
      <c r="R23" s="9"/>
      <c r="S23" s="9"/>
      <c r="T23" s="9"/>
      <c r="U23" s="9"/>
      <c r="V23" s="9"/>
      <c r="W23" s="9"/>
      <c r="X23" s="9"/>
      <c r="Y23" s="9"/>
      <c r="Z23" s="9"/>
      <c r="AA23" s="9"/>
      <c r="AB23" s="9"/>
      <c r="AC23" s="6"/>
      <c r="AD23" s="6"/>
      <c r="AE23" s="6"/>
      <c r="AF23" s="6"/>
      <c r="AG23" s="6"/>
      <c r="AH23" s="6"/>
      <c r="AI23" s="6"/>
      <c r="AJ23" s="6"/>
      <c r="AK23" s="6"/>
      <c r="AL23" s="6"/>
      <c r="AM23" s="6"/>
      <c r="AN23" s="6"/>
      <c r="AO23" s="6"/>
      <c r="AP23" s="6"/>
      <c r="AQ23" s="6"/>
      <c r="AR23" s="14"/>
      <c r="AS23" s="10"/>
      <c r="AT23" s="6"/>
      <c r="AU23" s="6"/>
      <c r="AV23" s="6"/>
      <c r="AW23" s="6"/>
      <c r="AX23" s="6"/>
      <c r="AY23" s="6"/>
      <c r="AZ23" s="6"/>
      <c r="BA23" s="6"/>
      <c r="BB23" s="14"/>
      <c r="BC23" s="10"/>
      <c r="BD23" s="6"/>
      <c r="BE23" s="6"/>
      <c r="BF23" s="6"/>
      <c r="BG23" s="6"/>
      <c r="BH23" s="6"/>
      <c r="BI23" s="6"/>
      <c r="BJ23" s="6"/>
      <c r="BK23" s="6"/>
      <c r="BL23" s="14"/>
      <c r="BM23" s="10"/>
      <c r="BN23" s="6"/>
      <c r="BO23" s="6"/>
      <c r="BP23" s="6"/>
      <c r="BQ23" s="6"/>
      <c r="BR23" s="6"/>
      <c r="BS23" s="6"/>
      <c r="BT23" s="6"/>
      <c r="BU23" s="6"/>
      <c r="BV23" s="14"/>
    </row>
    <row r="24" spans="1:74" x14ac:dyDescent="0.25">
      <c r="A24" s="24" t="s">
        <v>77</v>
      </c>
      <c r="B24" s="209"/>
      <c r="C24" s="10"/>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14"/>
      <c r="AS24" s="10"/>
      <c r="AT24" s="6"/>
      <c r="AU24" s="6"/>
      <c r="AV24" s="6"/>
      <c r="AW24" s="6"/>
      <c r="AX24" s="6"/>
      <c r="AY24" s="6"/>
      <c r="AZ24" s="6"/>
      <c r="BA24" s="6"/>
      <c r="BB24" s="14"/>
      <c r="BC24" s="10"/>
      <c r="BD24" s="6"/>
      <c r="BE24" s="6"/>
      <c r="BF24" s="6"/>
      <c r="BG24" s="6"/>
      <c r="BH24" s="6"/>
      <c r="BI24" s="6"/>
      <c r="BJ24" s="6"/>
      <c r="BK24" s="6"/>
      <c r="BL24" s="14"/>
      <c r="BM24" s="10"/>
      <c r="BN24" s="6"/>
      <c r="BO24" s="6"/>
      <c r="BP24" s="6"/>
      <c r="BQ24" s="6"/>
      <c r="BR24" s="6"/>
      <c r="BS24" s="6"/>
      <c r="BT24" s="6"/>
      <c r="BU24" s="6"/>
      <c r="BV24" s="14"/>
    </row>
    <row r="25" spans="1:74" x14ac:dyDescent="0.25">
      <c r="A25" s="6"/>
      <c r="B25" s="12"/>
      <c r="C25" s="10"/>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14"/>
      <c r="AS25" s="10"/>
      <c r="AT25" s="6"/>
      <c r="AU25" s="6"/>
      <c r="AV25" s="6"/>
      <c r="AW25" s="6"/>
      <c r="AX25" s="6"/>
      <c r="AY25" s="6"/>
      <c r="AZ25" s="6"/>
      <c r="BA25" s="6"/>
      <c r="BB25" s="14"/>
      <c r="BC25" s="10"/>
      <c r="BD25" s="6"/>
      <c r="BE25" s="6"/>
      <c r="BF25" s="6"/>
      <c r="BG25" s="6"/>
      <c r="BH25" s="6"/>
      <c r="BI25" s="6"/>
      <c r="BJ25" s="6"/>
      <c r="BK25" s="6"/>
      <c r="BL25" s="14"/>
      <c r="BM25" s="10"/>
      <c r="BN25" s="6"/>
      <c r="BO25" s="6"/>
      <c r="BP25" s="6"/>
      <c r="BQ25" s="6"/>
      <c r="BR25" s="6"/>
      <c r="BS25" s="6"/>
      <c r="BT25" s="6"/>
      <c r="BU25" s="6"/>
      <c r="BV25" s="14"/>
    </row>
    <row r="26" spans="1:74" x14ac:dyDescent="0.25">
      <c r="A26" s="6" t="s">
        <v>68</v>
      </c>
      <c r="B26" s="12" t="s">
        <v>22</v>
      </c>
      <c r="C26" s="11"/>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14"/>
      <c r="AS26" s="10"/>
      <c r="AT26" s="6"/>
      <c r="AU26" s="6"/>
      <c r="AV26" s="6"/>
      <c r="AW26" s="6"/>
      <c r="AX26" s="6"/>
      <c r="AY26" s="6"/>
      <c r="AZ26" s="6"/>
      <c r="BA26" s="6"/>
      <c r="BB26" s="14"/>
      <c r="BC26" s="10"/>
      <c r="BD26" s="6"/>
      <c r="BE26" s="6"/>
      <c r="BF26" s="6"/>
      <c r="BG26" s="6"/>
      <c r="BH26" s="6"/>
      <c r="BI26" s="6"/>
      <c r="BJ26" s="6"/>
      <c r="BK26" s="6"/>
      <c r="BL26" s="14"/>
      <c r="BM26" s="10"/>
      <c r="BN26" s="6"/>
      <c r="BO26" s="6"/>
      <c r="BP26" s="6"/>
      <c r="BQ26" s="6"/>
      <c r="BR26" s="6"/>
      <c r="BS26" s="6"/>
      <c r="BT26" s="6"/>
      <c r="BU26" s="6"/>
      <c r="BV26" s="14"/>
    </row>
    <row r="27" spans="1:74" ht="15" customHeight="1" x14ac:dyDescent="0.25">
      <c r="A27" s="24" t="s">
        <v>13</v>
      </c>
      <c r="B27" s="207" t="s">
        <v>21</v>
      </c>
      <c r="C27" s="22"/>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14"/>
      <c r="AS27" s="10"/>
      <c r="AT27" s="6"/>
      <c r="AU27" s="6"/>
      <c r="AV27" s="6"/>
      <c r="AW27" s="6"/>
      <c r="AX27" s="6"/>
      <c r="AY27" s="6"/>
      <c r="AZ27" s="6"/>
      <c r="BA27" s="6"/>
      <c r="BB27" s="14"/>
      <c r="BC27" s="10"/>
      <c r="BD27" s="6"/>
      <c r="BE27" s="6"/>
      <c r="BF27" s="6"/>
      <c r="BG27" s="6"/>
      <c r="BH27" s="6"/>
      <c r="BI27" s="6"/>
      <c r="BJ27" s="6"/>
      <c r="BK27" s="6"/>
      <c r="BL27" s="14"/>
      <c r="BM27" s="10"/>
      <c r="BN27" s="6"/>
      <c r="BO27" s="6"/>
      <c r="BP27" s="6"/>
      <c r="BQ27" s="6"/>
      <c r="BR27" s="6"/>
      <c r="BS27" s="6"/>
      <c r="BT27" s="6"/>
      <c r="BU27" s="6"/>
      <c r="BV27" s="14"/>
    </row>
    <row r="28" spans="1:74" x14ac:dyDescent="0.25">
      <c r="A28" s="24" t="s">
        <v>14</v>
      </c>
      <c r="B28" s="208"/>
      <c r="C28" s="22"/>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14"/>
      <c r="AS28" s="10"/>
      <c r="AT28" s="6"/>
      <c r="AU28" s="6"/>
      <c r="AV28" s="6"/>
      <c r="AW28" s="6"/>
      <c r="AX28" s="6"/>
      <c r="AY28" s="6"/>
      <c r="AZ28" s="6"/>
      <c r="BA28" s="6"/>
      <c r="BB28" s="14"/>
      <c r="BC28" s="10"/>
      <c r="BD28" s="6"/>
      <c r="BE28" s="6"/>
      <c r="BF28" s="6"/>
      <c r="BG28" s="6"/>
      <c r="BH28" s="6"/>
      <c r="BI28" s="6"/>
      <c r="BJ28" s="6"/>
      <c r="BK28" s="6"/>
      <c r="BL28" s="14"/>
      <c r="BM28" s="10"/>
      <c r="BN28" s="6"/>
      <c r="BO28" s="6"/>
      <c r="BP28" s="6"/>
      <c r="BQ28" s="6"/>
      <c r="BR28" s="6"/>
      <c r="BS28" s="6"/>
      <c r="BT28" s="6"/>
      <c r="BU28" s="6"/>
      <c r="BV28" s="14"/>
    </row>
    <row r="29" spans="1:74" x14ac:dyDescent="0.25">
      <c r="A29" s="24" t="s">
        <v>15</v>
      </c>
      <c r="B29" s="208"/>
      <c r="C29" s="22"/>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14"/>
      <c r="AS29" s="10"/>
      <c r="AT29" s="6"/>
      <c r="AU29" s="6"/>
      <c r="AV29" s="6"/>
      <c r="AW29" s="6"/>
      <c r="AX29" s="6"/>
      <c r="AY29" s="6"/>
      <c r="AZ29" s="6"/>
      <c r="BA29" s="6"/>
      <c r="BB29" s="14"/>
      <c r="BC29" s="10"/>
      <c r="BD29" s="6"/>
      <c r="BE29" s="6"/>
      <c r="BF29" s="6"/>
      <c r="BG29" s="6"/>
      <c r="BH29" s="6"/>
      <c r="BI29" s="6"/>
      <c r="BJ29" s="6"/>
      <c r="BK29" s="6"/>
      <c r="BL29" s="14"/>
      <c r="BM29" s="10"/>
      <c r="BN29" s="6"/>
      <c r="BO29" s="6"/>
      <c r="BP29" s="6"/>
      <c r="BQ29" s="6"/>
      <c r="BR29" s="6"/>
      <c r="BS29" s="6"/>
      <c r="BT29" s="6"/>
      <c r="BU29" s="6"/>
      <c r="BV29" s="14"/>
    </row>
    <row r="30" spans="1:74" x14ac:dyDescent="0.25">
      <c r="A30" s="24" t="s">
        <v>16</v>
      </c>
      <c r="B30" s="208"/>
      <c r="C30" s="22"/>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14"/>
      <c r="AS30" s="10"/>
      <c r="AT30" s="6"/>
      <c r="AU30" s="6"/>
      <c r="AV30" s="6"/>
      <c r="AW30" s="6"/>
      <c r="AX30" s="6"/>
      <c r="AY30" s="6"/>
      <c r="AZ30" s="6"/>
      <c r="BA30" s="6"/>
      <c r="BB30" s="14"/>
      <c r="BC30" s="10"/>
      <c r="BD30" s="6"/>
      <c r="BE30" s="6"/>
      <c r="BF30" s="6"/>
      <c r="BG30" s="6"/>
      <c r="BH30" s="6"/>
      <c r="BI30" s="6"/>
      <c r="BJ30" s="6"/>
      <c r="BK30" s="6"/>
      <c r="BL30" s="14"/>
      <c r="BM30" s="10"/>
      <c r="BN30" s="6"/>
      <c r="BO30" s="6"/>
      <c r="BP30" s="6"/>
      <c r="BQ30" s="6"/>
      <c r="BR30" s="6"/>
      <c r="BS30" s="6"/>
      <c r="BT30" s="6"/>
      <c r="BU30" s="6"/>
      <c r="BV30" s="14"/>
    </row>
    <row r="31" spans="1:74" x14ac:dyDescent="0.25">
      <c r="A31" s="24" t="s">
        <v>77</v>
      </c>
      <c r="B31" s="209"/>
      <c r="C31" s="10"/>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14"/>
      <c r="AS31" s="10"/>
      <c r="AT31" s="6"/>
      <c r="AU31" s="6"/>
      <c r="AV31" s="6"/>
      <c r="AW31" s="6"/>
      <c r="AX31" s="6"/>
      <c r="AY31" s="6"/>
      <c r="AZ31" s="6"/>
      <c r="BA31" s="6"/>
      <c r="BB31" s="14"/>
      <c r="BC31" s="10"/>
      <c r="BD31" s="6"/>
      <c r="BE31" s="6"/>
      <c r="BF31" s="6"/>
      <c r="BG31" s="6"/>
      <c r="BH31" s="6"/>
      <c r="BI31" s="6"/>
      <c r="BJ31" s="6"/>
      <c r="BK31" s="6"/>
      <c r="BL31" s="14"/>
      <c r="BM31" s="10"/>
      <c r="BN31" s="6"/>
      <c r="BO31" s="6"/>
      <c r="BP31" s="6"/>
      <c r="BQ31" s="6"/>
      <c r="BR31" s="6"/>
      <c r="BS31" s="6"/>
      <c r="BT31" s="6"/>
      <c r="BU31" s="6"/>
      <c r="BV31" s="14"/>
    </row>
    <row r="32" spans="1:74" x14ac:dyDescent="0.25">
      <c r="A32" s="24"/>
      <c r="B32" s="54"/>
      <c r="C32" s="10"/>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14"/>
      <c r="AS32" s="10"/>
      <c r="AT32" s="6"/>
      <c r="AU32" s="6"/>
      <c r="AV32" s="6"/>
      <c r="AW32" s="6"/>
      <c r="AX32" s="6"/>
      <c r="AY32" s="6"/>
      <c r="AZ32" s="6"/>
      <c r="BA32" s="6"/>
      <c r="BB32" s="14"/>
      <c r="BC32" s="10"/>
      <c r="BD32" s="6"/>
      <c r="BE32" s="6"/>
      <c r="BF32" s="6"/>
      <c r="BG32" s="6"/>
      <c r="BH32" s="6"/>
      <c r="BI32" s="6"/>
      <c r="BJ32" s="6"/>
      <c r="BK32" s="6"/>
      <c r="BL32" s="14"/>
      <c r="BM32" s="10"/>
      <c r="BN32" s="6"/>
      <c r="BO32" s="6"/>
      <c r="BP32" s="6"/>
      <c r="BQ32" s="6"/>
      <c r="BR32" s="6"/>
      <c r="BS32" s="6"/>
      <c r="BT32" s="6"/>
      <c r="BU32" s="6"/>
      <c r="BV32" s="14"/>
    </row>
    <row r="33" spans="1:74" x14ac:dyDescent="0.25">
      <c r="A33" s="6" t="s">
        <v>69</v>
      </c>
      <c r="B33" s="12" t="s">
        <v>6</v>
      </c>
      <c r="C33" s="10"/>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14"/>
      <c r="AS33" s="10"/>
      <c r="AT33" s="6"/>
      <c r="AU33" s="6"/>
      <c r="AV33" s="6"/>
      <c r="AW33" s="6"/>
      <c r="AX33" s="6"/>
      <c r="AY33" s="6"/>
      <c r="AZ33" s="6"/>
      <c r="BA33" s="6"/>
      <c r="BB33" s="14"/>
      <c r="BC33" s="10"/>
      <c r="BD33" s="6"/>
      <c r="BE33" s="6"/>
      <c r="BF33" s="6"/>
      <c r="BG33" s="6"/>
      <c r="BH33" s="6"/>
      <c r="BI33" s="6"/>
      <c r="BJ33" s="6"/>
      <c r="BK33" s="6"/>
      <c r="BL33" s="14"/>
      <c r="BM33" s="10"/>
      <c r="BN33" s="6"/>
      <c r="BO33" s="6"/>
      <c r="BP33" s="6"/>
      <c r="BQ33" s="6"/>
      <c r="BR33" s="6"/>
      <c r="BS33" s="6"/>
      <c r="BT33" s="6"/>
      <c r="BU33" s="6"/>
      <c r="BV33" s="14"/>
    </row>
    <row r="34" spans="1:74" x14ac:dyDescent="0.25">
      <c r="A34" s="24" t="s">
        <v>13</v>
      </c>
      <c r="B34" s="12"/>
      <c r="C34" s="10"/>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14"/>
      <c r="AS34" s="10"/>
      <c r="AT34" s="6"/>
      <c r="AU34" s="6"/>
      <c r="AV34" s="6"/>
      <c r="AW34" s="6"/>
      <c r="AX34" s="6"/>
      <c r="AY34" s="6"/>
      <c r="AZ34" s="6"/>
      <c r="BA34" s="6"/>
      <c r="BB34" s="14"/>
      <c r="BC34" s="10"/>
      <c r="BD34" s="6"/>
      <c r="BE34" s="6"/>
      <c r="BF34" s="6"/>
      <c r="BG34" s="6"/>
      <c r="BH34" s="6"/>
      <c r="BI34" s="6"/>
      <c r="BJ34" s="6"/>
      <c r="BK34" s="6"/>
      <c r="BL34" s="14"/>
      <c r="BM34" s="10"/>
      <c r="BN34" s="6"/>
      <c r="BO34" s="6"/>
      <c r="BP34" s="6"/>
      <c r="BQ34" s="6"/>
      <c r="BR34" s="6"/>
      <c r="BS34" s="6"/>
      <c r="BT34" s="6"/>
      <c r="BU34" s="6"/>
      <c r="BV34" s="14"/>
    </row>
    <row r="35" spans="1:74" x14ac:dyDescent="0.25">
      <c r="A35" s="24" t="s">
        <v>14</v>
      </c>
      <c r="B35" s="12"/>
      <c r="C35" s="10"/>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14"/>
      <c r="AS35" s="10"/>
      <c r="AT35" s="6"/>
      <c r="AU35" s="6"/>
      <c r="AV35" s="6"/>
      <c r="AW35" s="6"/>
      <c r="AX35" s="6"/>
      <c r="AY35" s="6"/>
      <c r="AZ35" s="6"/>
      <c r="BA35" s="6"/>
      <c r="BB35" s="14"/>
      <c r="BC35" s="10"/>
      <c r="BD35" s="6"/>
      <c r="BE35" s="6"/>
      <c r="BF35" s="6"/>
      <c r="BG35" s="6"/>
      <c r="BH35" s="6"/>
      <c r="BI35" s="6"/>
      <c r="BJ35" s="6"/>
      <c r="BK35" s="6"/>
      <c r="BL35" s="14"/>
      <c r="BM35" s="10"/>
      <c r="BN35" s="6"/>
      <c r="BO35" s="6"/>
      <c r="BP35" s="6"/>
      <c r="BQ35" s="6"/>
      <c r="BR35" s="6"/>
      <c r="BS35" s="6"/>
      <c r="BT35" s="6"/>
      <c r="BU35" s="6"/>
      <c r="BV35" s="14"/>
    </row>
    <row r="36" spans="1:74" x14ac:dyDescent="0.25">
      <c r="A36" s="24" t="s">
        <v>15</v>
      </c>
      <c r="B36" s="12"/>
      <c r="C36" s="10"/>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14"/>
      <c r="AS36" s="10"/>
      <c r="AT36" s="6"/>
      <c r="AU36" s="6"/>
      <c r="AV36" s="6"/>
      <c r="AW36" s="6"/>
      <c r="AX36" s="6"/>
      <c r="AY36" s="6"/>
      <c r="AZ36" s="6"/>
      <c r="BA36" s="6"/>
      <c r="BB36" s="14"/>
      <c r="BC36" s="10"/>
      <c r="BD36" s="6"/>
      <c r="BE36" s="6"/>
      <c r="BF36" s="6"/>
      <c r="BG36" s="6"/>
      <c r="BH36" s="6"/>
      <c r="BI36" s="6"/>
      <c r="BJ36" s="6"/>
      <c r="BK36" s="6"/>
      <c r="BL36" s="14"/>
      <c r="BM36" s="10"/>
      <c r="BN36" s="6"/>
      <c r="BO36" s="6"/>
      <c r="BP36" s="6"/>
      <c r="BQ36" s="6"/>
      <c r="BR36" s="6"/>
      <c r="BS36" s="6"/>
      <c r="BT36" s="6"/>
      <c r="BU36" s="6"/>
      <c r="BV36" s="14"/>
    </row>
    <row r="37" spans="1:74" x14ac:dyDescent="0.25">
      <c r="A37" s="24" t="s">
        <v>16</v>
      </c>
      <c r="B37" s="12"/>
      <c r="C37" s="10"/>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14"/>
      <c r="AS37" s="10"/>
      <c r="AT37" s="6"/>
      <c r="AU37" s="6"/>
      <c r="AV37" s="6"/>
      <c r="AW37" s="6"/>
      <c r="AX37" s="6"/>
      <c r="AY37" s="6"/>
      <c r="AZ37" s="6"/>
      <c r="BA37" s="6"/>
      <c r="BB37" s="14"/>
      <c r="BC37" s="10"/>
      <c r="BD37" s="6"/>
      <c r="BE37" s="6"/>
      <c r="BF37" s="6"/>
      <c r="BG37" s="6"/>
      <c r="BH37" s="6"/>
      <c r="BI37" s="6"/>
      <c r="BJ37" s="6"/>
      <c r="BK37" s="6"/>
      <c r="BL37" s="14"/>
      <c r="BM37" s="10"/>
      <c r="BN37" s="6"/>
      <c r="BO37" s="6"/>
      <c r="BP37" s="6"/>
      <c r="BQ37" s="6"/>
      <c r="BR37" s="6"/>
      <c r="BS37" s="6"/>
      <c r="BT37" s="6"/>
      <c r="BU37" s="6"/>
      <c r="BV37" s="14"/>
    </row>
    <row r="38" spans="1:74" x14ac:dyDescent="0.25">
      <c r="A38" s="24" t="s">
        <v>77</v>
      </c>
      <c r="B38" s="12"/>
      <c r="C38" s="10"/>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14"/>
      <c r="AS38" s="10"/>
      <c r="AT38" s="6"/>
      <c r="AU38" s="6"/>
      <c r="AV38" s="6"/>
      <c r="AW38" s="6"/>
      <c r="AX38" s="6"/>
      <c r="AY38" s="6"/>
      <c r="AZ38" s="6"/>
      <c r="BA38" s="6"/>
      <c r="BB38" s="14"/>
      <c r="BC38" s="10"/>
      <c r="BD38" s="6"/>
      <c r="BE38" s="6"/>
      <c r="BF38" s="6"/>
      <c r="BG38" s="6"/>
      <c r="BH38" s="6"/>
      <c r="BI38" s="6"/>
      <c r="BJ38" s="6"/>
      <c r="BK38" s="6"/>
      <c r="BL38" s="14"/>
      <c r="BM38" s="10"/>
      <c r="BN38" s="6"/>
      <c r="BO38" s="6"/>
      <c r="BP38" s="6"/>
      <c r="BQ38" s="6"/>
      <c r="BR38" s="6"/>
      <c r="BS38" s="6"/>
      <c r="BT38" s="6"/>
      <c r="BU38" s="6"/>
      <c r="BV38" s="14"/>
    </row>
    <row r="39" spans="1:74" x14ac:dyDescent="0.25">
      <c r="A39" s="6"/>
      <c r="B39" s="12"/>
      <c r="C39" s="10"/>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14"/>
      <c r="AS39" s="10"/>
      <c r="AT39" s="6"/>
      <c r="AU39" s="6"/>
      <c r="AV39" s="6"/>
      <c r="AW39" s="6"/>
      <c r="AX39" s="6"/>
      <c r="AY39" s="6"/>
      <c r="AZ39" s="6"/>
      <c r="BA39" s="6"/>
      <c r="BB39" s="14"/>
      <c r="BC39" s="10"/>
      <c r="BD39" s="6"/>
      <c r="BE39" s="6"/>
      <c r="BF39" s="6"/>
      <c r="BG39" s="6"/>
      <c r="BH39" s="6"/>
      <c r="BI39" s="6"/>
      <c r="BJ39" s="6"/>
      <c r="BK39" s="6"/>
      <c r="BL39" s="14"/>
      <c r="BM39" s="10"/>
      <c r="BN39" s="6"/>
      <c r="BO39" s="6"/>
      <c r="BP39" s="6"/>
      <c r="BQ39" s="6"/>
      <c r="BR39" s="6"/>
      <c r="BS39" s="6"/>
      <c r="BT39" s="6"/>
      <c r="BU39" s="6"/>
      <c r="BV39" s="14"/>
    </row>
    <row r="40" spans="1:74" x14ac:dyDescent="0.25">
      <c r="A40" s="6" t="s">
        <v>70</v>
      </c>
      <c r="B40" s="12" t="s">
        <v>23</v>
      </c>
      <c r="C40" s="10"/>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14"/>
      <c r="AS40" s="10"/>
      <c r="AT40" s="6"/>
      <c r="AU40" s="6"/>
      <c r="AV40" s="6"/>
      <c r="AW40" s="6"/>
      <c r="AX40" s="6"/>
      <c r="AY40" s="6"/>
      <c r="AZ40" s="6"/>
      <c r="BA40" s="6"/>
      <c r="BB40" s="14"/>
      <c r="BC40" s="10"/>
      <c r="BD40" s="6"/>
      <c r="BE40" s="6"/>
      <c r="BF40" s="6"/>
      <c r="BG40" s="6"/>
      <c r="BH40" s="6"/>
      <c r="BI40" s="6"/>
      <c r="BJ40" s="6"/>
      <c r="BK40" s="6"/>
      <c r="BL40" s="14"/>
      <c r="BM40" s="10"/>
      <c r="BN40" s="6"/>
      <c r="BO40" s="6"/>
      <c r="BP40" s="6"/>
      <c r="BQ40" s="6"/>
      <c r="BR40" s="6"/>
      <c r="BS40" s="6"/>
      <c r="BT40" s="6"/>
      <c r="BU40" s="6"/>
      <c r="BV40" s="14"/>
    </row>
    <row r="41" spans="1:74" x14ac:dyDescent="0.25">
      <c r="A41" s="24" t="s">
        <v>13</v>
      </c>
      <c r="B41" s="12"/>
      <c r="C41" s="10"/>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14"/>
      <c r="AS41" s="10"/>
      <c r="AT41" s="6"/>
      <c r="AU41" s="6"/>
      <c r="AV41" s="6"/>
      <c r="AW41" s="6"/>
      <c r="AX41" s="6"/>
      <c r="AY41" s="6"/>
      <c r="AZ41" s="6"/>
      <c r="BA41" s="6"/>
      <c r="BB41" s="14"/>
      <c r="BC41" s="10"/>
      <c r="BD41" s="6"/>
      <c r="BE41" s="6"/>
      <c r="BF41" s="6"/>
      <c r="BG41" s="6"/>
      <c r="BH41" s="6"/>
      <c r="BI41" s="6"/>
      <c r="BJ41" s="6"/>
      <c r="BK41" s="6"/>
      <c r="BL41" s="14"/>
      <c r="BM41" s="10"/>
      <c r="BN41" s="6"/>
      <c r="BO41" s="6"/>
      <c r="BP41" s="6"/>
      <c r="BQ41" s="6"/>
      <c r="BR41" s="6"/>
      <c r="BS41" s="6"/>
      <c r="BT41" s="6"/>
      <c r="BU41" s="6"/>
      <c r="BV41" s="14"/>
    </row>
    <row r="42" spans="1:74" x14ac:dyDescent="0.25">
      <c r="A42" s="24" t="s">
        <v>14</v>
      </c>
      <c r="B42" s="12"/>
      <c r="C42" s="10"/>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14"/>
      <c r="AS42" s="10"/>
      <c r="AT42" s="6"/>
      <c r="AU42" s="6"/>
      <c r="AV42" s="6"/>
      <c r="AW42" s="6"/>
      <c r="AX42" s="6"/>
      <c r="AY42" s="6"/>
      <c r="AZ42" s="6"/>
      <c r="BA42" s="6"/>
      <c r="BB42" s="14"/>
      <c r="BC42" s="10"/>
      <c r="BD42" s="6"/>
      <c r="BE42" s="6"/>
      <c r="BF42" s="6"/>
      <c r="BG42" s="6"/>
      <c r="BH42" s="6"/>
      <c r="BI42" s="6"/>
      <c r="BJ42" s="6"/>
      <c r="BK42" s="6"/>
      <c r="BL42" s="14"/>
      <c r="BM42" s="10"/>
      <c r="BN42" s="6"/>
      <c r="BO42" s="6"/>
      <c r="BP42" s="6"/>
      <c r="BQ42" s="6"/>
      <c r="BR42" s="6"/>
      <c r="BS42" s="6"/>
      <c r="BT42" s="6"/>
      <c r="BU42" s="6"/>
      <c r="BV42" s="14"/>
    </row>
    <row r="43" spans="1:74" x14ac:dyDescent="0.25">
      <c r="A43" s="24" t="s">
        <v>15</v>
      </c>
      <c r="B43" s="12"/>
      <c r="C43" s="10"/>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14"/>
      <c r="AS43" s="10"/>
      <c r="AT43" s="6"/>
      <c r="AU43" s="6"/>
      <c r="AV43" s="6"/>
      <c r="AW43" s="6"/>
      <c r="AX43" s="6"/>
      <c r="AY43" s="6"/>
      <c r="AZ43" s="6"/>
      <c r="BA43" s="6"/>
      <c r="BB43" s="14"/>
      <c r="BC43" s="10"/>
      <c r="BD43" s="6"/>
      <c r="BE43" s="6"/>
      <c r="BF43" s="6"/>
      <c r="BG43" s="6"/>
      <c r="BH43" s="6"/>
      <c r="BI43" s="6"/>
      <c r="BJ43" s="6"/>
      <c r="BK43" s="6"/>
      <c r="BL43" s="14"/>
      <c r="BM43" s="10"/>
      <c r="BN43" s="6"/>
      <c r="BO43" s="6"/>
      <c r="BP43" s="6"/>
      <c r="BQ43" s="6"/>
      <c r="BR43" s="6"/>
      <c r="BS43" s="6"/>
      <c r="BT43" s="6"/>
      <c r="BU43" s="6"/>
      <c r="BV43" s="14"/>
    </row>
    <row r="44" spans="1:74" x14ac:dyDescent="0.25">
      <c r="A44" s="24" t="s">
        <v>16</v>
      </c>
      <c r="B44" s="12"/>
      <c r="C44" s="10"/>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14"/>
      <c r="AS44" s="10"/>
      <c r="AT44" s="6"/>
      <c r="AU44" s="6"/>
      <c r="AV44" s="6"/>
      <c r="AW44" s="6"/>
      <c r="AX44" s="6"/>
      <c r="AY44" s="6"/>
      <c r="AZ44" s="6"/>
      <c r="BA44" s="6"/>
      <c r="BB44" s="14"/>
      <c r="BC44" s="10"/>
      <c r="BD44" s="6"/>
      <c r="BE44" s="6"/>
      <c r="BF44" s="6"/>
      <c r="BG44" s="6"/>
      <c r="BH44" s="6"/>
      <c r="BI44" s="6"/>
      <c r="BJ44" s="6"/>
      <c r="BK44" s="6"/>
      <c r="BL44" s="14"/>
      <c r="BM44" s="10"/>
      <c r="BN44" s="6"/>
      <c r="BO44" s="6"/>
      <c r="BP44" s="6"/>
      <c r="BQ44" s="6"/>
      <c r="BR44" s="6"/>
      <c r="BS44" s="6"/>
      <c r="BT44" s="6"/>
      <c r="BU44" s="6"/>
      <c r="BV44" s="14"/>
    </row>
    <row r="45" spans="1:74" x14ac:dyDescent="0.25">
      <c r="A45" s="24" t="s">
        <v>77</v>
      </c>
      <c r="B45" s="12"/>
      <c r="C45" s="10"/>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14"/>
      <c r="AS45" s="10"/>
      <c r="AT45" s="6"/>
      <c r="AU45" s="6"/>
      <c r="AV45" s="6"/>
      <c r="AW45" s="6"/>
      <c r="AX45" s="6"/>
      <c r="AY45" s="6"/>
      <c r="AZ45" s="6"/>
      <c r="BA45" s="6"/>
      <c r="BB45" s="14"/>
      <c r="BC45" s="10"/>
      <c r="BD45" s="6"/>
      <c r="BE45" s="6"/>
      <c r="BF45" s="6"/>
      <c r="BG45" s="6"/>
      <c r="BH45" s="6"/>
      <c r="BI45" s="6"/>
      <c r="BJ45" s="6"/>
      <c r="BK45" s="6"/>
      <c r="BL45" s="14"/>
      <c r="BM45" s="10"/>
      <c r="BN45" s="6"/>
      <c r="BO45" s="6"/>
      <c r="BP45" s="6"/>
      <c r="BQ45" s="6"/>
      <c r="BR45" s="6"/>
      <c r="BS45" s="6"/>
      <c r="BT45" s="6"/>
      <c r="BU45" s="6"/>
      <c r="BV45" s="14"/>
    </row>
    <row r="46" spans="1:74" x14ac:dyDescent="0.25">
      <c r="A46" s="6"/>
      <c r="B46" s="23"/>
      <c r="C46" s="10"/>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14"/>
      <c r="AS46" s="10"/>
      <c r="AT46" s="6"/>
      <c r="AU46" s="6"/>
      <c r="AV46" s="6"/>
      <c r="AW46" s="6"/>
      <c r="AX46" s="6"/>
      <c r="AY46" s="6"/>
      <c r="AZ46" s="6"/>
      <c r="BA46" s="6"/>
      <c r="BB46" s="14"/>
      <c r="BC46" s="10"/>
      <c r="BD46" s="6"/>
      <c r="BE46" s="6"/>
      <c r="BF46" s="6"/>
      <c r="BG46" s="6"/>
      <c r="BH46" s="6"/>
      <c r="BI46" s="6"/>
      <c r="BJ46" s="6"/>
      <c r="BK46" s="6"/>
      <c r="BL46" s="14"/>
      <c r="BM46" s="10"/>
      <c r="BN46" s="6"/>
      <c r="BO46" s="6"/>
      <c r="BP46" s="6"/>
      <c r="BQ46" s="6"/>
      <c r="BR46" s="6"/>
      <c r="BS46" s="6"/>
      <c r="BT46" s="6"/>
      <c r="BU46" s="6"/>
      <c r="BV46" s="14"/>
    </row>
    <row r="47" spans="1:74" x14ac:dyDescent="0.25">
      <c r="A47" s="6" t="s">
        <v>42</v>
      </c>
      <c r="B47" s="23" t="s">
        <v>38</v>
      </c>
      <c r="C47" s="11"/>
      <c r="D47" s="7"/>
      <c r="E47" s="7"/>
      <c r="F47" s="7"/>
      <c r="G47" s="7"/>
      <c r="H47" s="7"/>
      <c r="I47" s="7"/>
      <c r="J47" s="7"/>
      <c r="K47" s="7"/>
      <c r="L47" s="7"/>
      <c r="M47" s="7"/>
      <c r="N47" s="7"/>
      <c r="O47" s="7"/>
      <c r="P47" s="7"/>
      <c r="Q47" s="7"/>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14"/>
      <c r="AS47" s="10"/>
      <c r="AT47" s="6"/>
      <c r="AU47" s="6"/>
      <c r="AV47" s="6"/>
      <c r="AW47" s="6"/>
      <c r="AX47" s="6"/>
      <c r="AY47" s="6"/>
      <c r="AZ47" s="6"/>
      <c r="BA47" s="6"/>
      <c r="BB47" s="14"/>
      <c r="BC47" s="10"/>
      <c r="BD47" s="6"/>
      <c r="BE47" s="6"/>
      <c r="BF47" s="6"/>
      <c r="BG47" s="6"/>
      <c r="BH47" s="6"/>
      <c r="BI47" s="6"/>
      <c r="BJ47" s="6"/>
      <c r="BK47" s="6"/>
      <c r="BL47" s="14"/>
      <c r="BM47" s="10"/>
      <c r="BN47" s="6"/>
      <c r="BO47" s="6"/>
      <c r="BP47" s="6"/>
      <c r="BQ47" s="6"/>
      <c r="BR47" s="6"/>
      <c r="BS47" s="6"/>
      <c r="BT47" s="6"/>
      <c r="BU47" s="6"/>
      <c r="BV47" s="14"/>
    </row>
    <row r="48" spans="1:74" x14ac:dyDescent="0.25">
      <c r="A48" s="6"/>
      <c r="B48" s="23"/>
      <c r="C48" s="10"/>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14"/>
      <c r="AS48" s="10"/>
      <c r="AT48" s="6"/>
      <c r="AU48" s="6"/>
      <c r="AV48" s="6"/>
      <c r="AW48" s="6"/>
      <c r="AX48" s="6"/>
      <c r="AY48" s="6"/>
      <c r="AZ48" s="6"/>
      <c r="BA48" s="6"/>
      <c r="BB48" s="14"/>
      <c r="BC48" s="10"/>
      <c r="BD48" s="6"/>
      <c r="BE48" s="6"/>
      <c r="BF48" s="6"/>
      <c r="BG48" s="6"/>
      <c r="BH48" s="6"/>
      <c r="BI48" s="6"/>
      <c r="BJ48" s="6"/>
      <c r="BK48" s="6"/>
      <c r="BL48" s="14"/>
      <c r="BM48" s="10"/>
      <c r="BN48" s="6"/>
      <c r="BO48" s="6"/>
      <c r="BP48" s="6"/>
      <c r="BQ48" s="6"/>
      <c r="BR48" s="6"/>
      <c r="BS48" s="6"/>
      <c r="BT48" s="6"/>
      <c r="BU48" s="6"/>
      <c r="BV48" s="14"/>
    </row>
    <row r="49" spans="1:74" x14ac:dyDescent="0.25">
      <c r="A49" s="6" t="s">
        <v>39</v>
      </c>
      <c r="B49" s="23" t="s">
        <v>38</v>
      </c>
      <c r="C49" s="11"/>
      <c r="D49" s="7"/>
      <c r="E49" s="7"/>
      <c r="F49" s="7"/>
      <c r="G49" s="7"/>
      <c r="H49" s="7"/>
      <c r="I49" s="7"/>
      <c r="J49" s="7"/>
      <c r="K49" s="7"/>
      <c r="L49" s="7"/>
      <c r="M49" s="7"/>
      <c r="N49" s="7"/>
      <c r="O49" s="7"/>
      <c r="P49" s="7"/>
      <c r="Q49" s="7"/>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14"/>
      <c r="AS49" s="10"/>
      <c r="AT49" s="6"/>
      <c r="AU49" s="6"/>
      <c r="AV49" s="6"/>
      <c r="AW49" s="6"/>
      <c r="AX49" s="6"/>
      <c r="AY49" s="6"/>
      <c r="AZ49" s="6"/>
      <c r="BA49" s="6"/>
      <c r="BB49" s="14"/>
      <c r="BC49" s="10"/>
      <c r="BD49" s="6"/>
      <c r="BE49" s="6"/>
      <c r="BF49" s="6"/>
      <c r="BG49" s="6"/>
      <c r="BH49" s="6"/>
      <c r="BI49" s="6"/>
      <c r="BJ49" s="6"/>
      <c r="BK49" s="6"/>
      <c r="BL49" s="14"/>
      <c r="BM49" s="10"/>
      <c r="BN49" s="6"/>
      <c r="BO49" s="6"/>
      <c r="BP49" s="6"/>
      <c r="BQ49" s="6"/>
      <c r="BR49" s="6"/>
      <c r="BS49" s="6"/>
      <c r="BT49" s="6"/>
      <c r="BU49" s="6"/>
      <c r="BV49" s="14"/>
    </row>
    <row r="50" spans="1:74" x14ac:dyDescent="0.25">
      <c r="A50" s="24" t="s">
        <v>40</v>
      </c>
      <c r="B50" s="23" t="s">
        <v>41</v>
      </c>
      <c r="C50" s="10"/>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14"/>
      <c r="AS50" s="10"/>
      <c r="AT50" s="6"/>
      <c r="AU50" s="6"/>
      <c r="AV50" s="6"/>
      <c r="AW50" s="6"/>
      <c r="AX50" s="6"/>
      <c r="AY50" s="6"/>
      <c r="AZ50" s="6"/>
      <c r="BA50" s="6"/>
      <c r="BB50" s="14"/>
      <c r="BC50" s="10"/>
      <c r="BD50" s="6"/>
      <c r="BE50" s="6"/>
      <c r="BF50" s="6"/>
      <c r="BG50" s="6"/>
      <c r="BH50" s="6"/>
      <c r="BI50" s="6"/>
      <c r="BJ50" s="6"/>
      <c r="BK50" s="6"/>
      <c r="BL50" s="14"/>
      <c r="BM50" s="10"/>
      <c r="BN50" s="6"/>
      <c r="BO50" s="6"/>
      <c r="BP50" s="6"/>
      <c r="BQ50" s="6"/>
      <c r="BR50" s="6"/>
      <c r="BS50" s="6"/>
      <c r="BT50" s="6"/>
      <c r="BU50" s="6"/>
      <c r="BV50" s="14"/>
    </row>
    <row r="51" spans="1:74" x14ac:dyDescent="0.25">
      <c r="A51" s="24"/>
      <c r="B51" s="23"/>
      <c r="C51" s="10"/>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14"/>
      <c r="AS51" s="10"/>
      <c r="AT51" s="6"/>
      <c r="AU51" s="6"/>
      <c r="AV51" s="6"/>
      <c r="AW51" s="6"/>
      <c r="AX51" s="6"/>
      <c r="AY51" s="6"/>
      <c r="AZ51" s="6"/>
      <c r="BA51" s="6"/>
      <c r="BB51" s="14"/>
      <c r="BC51" s="10"/>
      <c r="BD51" s="6"/>
      <c r="BE51" s="6"/>
      <c r="BF51" s="6"/>
      <c r="BG51" s="6"/>
      <c r="BH51" s="6"/>
      <c r="BI51" s="6"/>
      <c r="BJ51" s="6"/>
      <c r="BK51" s="6"/>
      <c r="BL51" s="14"/>
      <c r="BM51" s="10"/>
      <c r="BN51" s="6"/>
      <c r="BO51" s="6"/>
      <c r="BP51" s="6"/>
      <c r="BQ51" s="6"/>
      <c r="BR51" s="6"/>
      <c r="BS51" s="6"/>
      <c r="BT51" s="6"/>
      <c r="BU51" s="6"/>
      <c r="BV51" s="14"/>
    </row>
    <row r="52" spans="1:74" ht="18.75" x14ac:dyDescent="0.3">
      <c r="A52" s="53" t="s">
        <v>75</v>
      </c>
      <c r="B52" s="23"/>
      <c r="C52" s="10"/>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14"/>
      <c r="AS52" s="10"/>
      <c r="AT52" s="6"/>
      <c r="AU52" s="6"/>
      <c r="AV52" s="6"/>
      <c r="AW52" s="6"/>
      <c r="AX52" s="6"/>
      <c r="AY52" s="6"/>
      <c r="AZ52" s="6"/>
      <c r="BA52" s="6"/>
      <c r="BB52" s="14"/>
      <c r="BC52" s="10"/>
      <c r="BD52" s="6"/>
      <c r="BE52" s="6"/>
      <c r="BF52" s="6"/>
      <c r="BG52" s="6"/>
      <c r="BH52" s="6"/>
      <c r="BI52" s="6"/>
      <c r="BJ52" s="6"/>
      <c r="BK52" s="6"/>
      <c r="BL52" s="14"/>
      <c r="BM52" s="10"/>
      <c r="BN52" s="6"/>
      <c r="BO52" s="6"/>
      <c r="BP52" s="6"/>
      <c r="BQ52" s="6"/>
      <c r="BR52" s="6"/>
      <c r="BS52" s="6"/>
      <c r="BT52" s="6"/>
      <c r="BU52" s="6"/>
      <c r="BV52" s="14"/>
    </row>
    <row r="53" spans="1:74" x14ac:dyDescent="0.25">
      <c r="A53" s="24"/>
      <c r="B53" s="23"/>
      <c r="C53" s="10"/>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14"/>
      <c r="AS53" s="10"/>
      <c r="AT53" s="6"/>
      <c r="AU53" s="6"/>
      <c r="AV53" s="6"/>
      <c r="AW53" s="6"/>
      <c r="AX53" s="6"/>
      <c r="AY53" s="6"/>
      <c r="AZ53" s="6"/>
      <c r="BA53" s="6"/>
      <c r="BB53" s="14"/>
      <c r="BC53" s="10"/>
      <c r="BD53" s="6"/>
      <c r="BE53" s="6"/>
      <c r="BF53" s="6"/>
      <c r="BG53" s="6"/>
      <c r="BH53" s="6"/>
      <c r="BI53" s="6"/>
      <c r="BJ53" s="6"/>
      <c r="BK53" s="6"/>
      <c r="BL53" s="14"/>
      <c r="BM53" s="10"/>
      <c r="BN53" s="6"/>
      <c r="BO53" s="6"/>
      <c r="BP53" s="6"/>
      <c r="BQ53" s="6"/>
      <c r="BR53" s="6"/>
      <c r="BS53" s="6"/>
      <c r="BT53" s="6"/>
      <c r="BU53" s="6"/>
      <c r="BV53" s="14"/>
    </row>
    <row r="54" spans="1:74" x14ac:dyDescent="0.25">
      <c r="A54" s="6" t="s">
        <v>7</v>
      </c>
      <c r="B54" s="12" t="s">
        <v>26</v>
      </c>
      <c r="C54" s="11"/>
      <c r="D54" s="7"/>
      <c r="E54" s="7"/>
      <c r="F54" s="7"/>
      <c r="G54" s="7"/>
      <c r="H54" s="7"/>
      <c r="I54" s="7"/>
      <c r="J54" s="7"/>
      <c r="K54" s="7"/>
      <c r="L54" s="7"/>
      <c r="M54" s="7"/>
      <c r="N54" s="7"/>
      <c r="O54" s="7"/>
      <c r="P54" s="7"/>
      <c r="Q54" s="7"/>
      <c r="R54" s="7"/>
      <c r="S54" s="7"/>
      <c r="T54" s="7"/>
      <c r="U54" s="7"/>
      <c r="V54" s="7"/>
      <c r="W54" s="6"/>
      <c r="X54" s="6"/>
      <c r="Y54" s="6"/>
      <c r="Z54" s="6"/>
      <c r="AA54" s="6"/>
      <c r="AB54" s="6"/>
      <c r="AC54" s="6"/>
      <c r="AD54" s="6"/>
      <c r="AE54" s="6"/>
      <c r="AF54" s="6"/>
      <c r="AG54" s="6"/>
      <c r="AH54" s="6"/>
      <c r="AI54" s="6"/>
      <c r="AJ54" s="6"/>
      <c r="AK54" s="6"/>
      <c r="AL54" s="6"/>
      <c r="AM54" s="6"/>
      <c r="AN54" s="6"/>
      <c r="AO54" s="6"/>
      <c r="AP54" s="6"/>
      <c r="AQ54" s="6"/>
      <c r="AR54" s="14"/>
      <c r="AS54" s="10"/>
      <c r="AT54" s="6"/>
      <c r="AU54" s="6"/>
      <c r="AV54" s="6"/>
      <c r="AW54" s="6"/>
      <c r="AX54" s="6"/>
      <c r="AY54" s="6"/>
      <c r="AZ54" s="6"/>
      <c r="BA54" s="6"/>
      <c r="BB54" s="14"/>
      <c r="BC54" s="10"/>
      <c r="BD54" s="6"/>
      <c r="BE54" s="6"/>
      <c r="BF54" s="6"/>
      <c r="BG54" s="6"/>
      <c r="BH54" s="6"/>
      <c r="BI54" s="6"/>
      <c r="BJ54" s="6"/>
      <c r="BK54" s="6"/>
      <c r="BL54" s="14"/>
      <c r="BM54" s="10"/>
      <c r="BN54" s="6"/>
      <c r="BO54" s="6"/>
      <c r="BP54" s="6"/>
      <c r="BQ54" s="6"/>
      <c r="BR54" s="6"/>
      <c r="BS54" s="6"/>
      <c r="BT54" s="6"/>
      <c r="BU54" s="6"/>
      <c r="BV54" s="14"/>
    </row>
    <row r="55" spans="1:74" x14ac:dyDescent="0.25">
      <c r="A55" s="6"/>
      <c r="B55" s="12"/>
      <c r="C55" s="10"/>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14"/>
      <c r="AS55" s="10"/>
      <c r="AT55" s="6"/>
      <c r="AU55" s="6"/>
      <c r="AV55" s="6"/>
      <c r="AW55" s="6"/>
      <c r="AX55" s="6"/>
      <c r="AY55" s="6"/>
      <c r="AZ55" s="6"/>
      <c r="BA55" s="6"/>
      <c r="BB55" s="14"/>
      <c r="BC55" s="10"/>
      <c r="BD55" s="6"/>
      <c r="BE55" s="6"/>
      <c r="BF55" s="6"/>
      <c r="BG55" s="6"/>
      <c r="BH55" s="6"/>
      <c r="BI55" s="6"/>
      <c r="BJ55" s="6"/>
      <c r="BK55" s="6"/>
      <c r="BL55" s="14"/>
      <c r="BM55" s="10"/>
      <c r="BN55" s="6"/>
      <c r="BO55" s="6"/>
      <c r="BP55" s="6"/>
      <c r="BQ55" s="6"/>
      <c r="BR55" s="6"/>
      <c r="BS55" s="6"/>
      <c r="BT55" s="6"/>
      <c r="BU55" s="6"/>
      <c r="BV55" s="14"/>
    </row>
    <row r="56" spans="1:74" x14ac:dyDescent="0.25">
      <c r="A56" s="6" t="s">
        <v>0</v>
      </c>
      <c r="B56" s="12" t="s">
        <v>25</v>
      </c>
      <c r="C56" s="11"/>
      <c r="D56" s="7"/>
      <c r="E56" s="7"/>
      <c r="F56" s="7"/>
      <c r="G56" s="7"/>
      <c r="H56" s="7"/>
      <c r="I56" s="7"/>
      <c r="J56" s="7"/>
      <c r="K56" s="7"/>
      <c r="L56" s="7"/>
      <c r="M56" s="7"/>
      <c r="N56" s="7"/>
      <c r="O56" s="7"/>
      <c r="P56" s="7"/>
      <c r="Q56" s="7"/>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14"/>
      <c r="AS56" s="10"/>
      <c r="AT56" s="6"/>
      <c r="AU56" s="6"/>
      <c r="AV56" s="6"/>
      <c r="AW56" s="6"/>
      <c r="AX56" s="6"/>
      <c r="AY56" s="6"/>
      <c r="AZ56" s="6"/>
      <c r="BA56" s="6"/>
      <c r="BB56" s="14"/>
      <c r="BC56" s="10"/>
      <c r="BD56" s="6"/>
      <c r="BE56" s="6"/>
      <c r="BF56" s="6"/>
      <c r="BG56" s="6"/>
      <c r="BH56" s="6"/>
      <c r="BI56" s="6"/>
      <c r="BJ56" s="6"/>
      <c r="BK56" s="6"/>
      <c r="BL56" s="14"/>
      <c r="BM56" s="10"/>
      <c r="BN56" s="6"/>
      <c r="BO56" s="6"/>
      <c r="BP56" s="6"/>
      <c r="BQ56" s="6"/>
      <c r="BR56" s="6"/>
      <c r="BS56" s="6"/>
      <c r="BT56" s="6"/>
      <c r="BU56" s="6"/>
      <c r="BV56" s="14"/>
    </row>
    <row r="57" spans="1:74" x14ac:dyDescent="0.25">
      <c r="A57" s="6"/>
      <c r="B57" s="23"/>
      <c r="C57" s="10"/>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14"/>
      <c r="AS57" s="10"/>
      <c r="AT57" s="6"/>
      <c r="AU57" s="6"/>
      <c r="AV57" s="6"/>
      <c r="AW57" s="6"/>
      <c r="AX57" s="6"/>
      <c r="AY57" s="6"/>
      <c r="AZ57" s="6"/>
      <c r="BA57" s="6"/>
      <c r="BB57" s="14"/>
      <c r="BC57" s="10"/>
      <c r="BD57" s="6"/>
      <c r="BE57" s="6"/>
      <c r="BF57" s="6"/>
      <c r="BG57" s="6"/>
      <c r="BH57" s="6"/>
      <c r="BI57" s="6"/>
      <c r="BJ57" s="6"/>
      <c r="BK57" s="6"/>
      <c r="BL57" s="14"/>
      <c r="BM57" s="10"/>
      <c r="BN57" s="6"/>
      <c r="BO57" s="6"/>
      <c r="BP57" s="6"/>
      <c r="BQ57" s="6"/>
      <c r="BR57" s="6"/>
      <c r="BS57" s="6"/>
      <c r="BT57" s="6"/>
      <c r="BU57" s="6"/>
      <c r="BV57" s="14"/>
    </row>
    <row r="58" spans="1:74" x14ac:dyDescent="0.25">
      <c r="A58" s="6" t="s">
        <v>71</v>
      </c>
      <c r="B58" s="12" t="s">
        <v>33</v>
      </c>
      <c r="C58" s="10"/>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14"/>
      <c r="AS58" s="10"/>
      <c r="AT58" s="6"/>
      <c r="AU58" s="6"/>
      <c r="AV58" s="6"/>
      <c r="AW58" s="6"/>
      <c r="AX58" s="6"/>
      <c r="AY58" s="6"/>
      <c r="AZ58" s="6"/>
      <c r="BA58" s="6"/>
      <c r="BB58" s="14"/>
      <c r="BC58" s="10"/>
      <c r="BD58" s="6"/>
      <c r="BE58" s="6"/>
      <c r="BF58" s="6"/>
      <c r="BG58" s="6"/>
      <c r="BH58" s="6"/>
      <c r="BI58" s="6"/>
      <c r="BJ58" s="6"/>
      <c r="BK58" s="6"/>
      <c r="BL58" s="14"/>
      <c r="BM58" s="10"/>
      <c r="BN58" s="6"/>
      <c r="BO58" s="6"/>
      <c r="BP58" s="6"/>
      <c r="BQ58" s="6"/>
      <c r="BR58" s="6"/>
      <c r="BS58" s="6"/>
      <c r="BT58" s="6"/>
      <c r="BU58" s="6"/>
      <c r="BV58" s="14"/>
    </row>
    <row r="59" spans="1:74" x14ac:dyDescent="0.25">
      <c r="A59" s="6"/>
      <c r="B59" s="12"/>
      <c r="C59" s="10"/>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14"/>
      <c r="AS59" s="10"/>
      <c r="AT59" s="6"/>
      <c r="AU59" s="6"/>
      <c r="AV59" s="6"/>
      <c r="AW59" s="6"/>
      <c r="AX59" s="6"/>
      <c r="AY59" s="6"/>
      <c r="AZ59" s="6"/>
      <c r="BA59" s="6"/>
      <c r="BB59" s="14"/>
      <c r="BC59" s="10"/>
      <c r="BD59" s="6"/>
      <c r="BE59" s="6"/>
      <c r="BF59" s="6"/>
      <c r="BG59" s="6"/>
      <c r="BH59" s="6"/>
      <c r="BI59" s="6"/>
      <c r="BJ59" s="6"/>
      <c r="BK59" s="6"/>
      <c r="BL59" s="14"/>
      <c r="BM59" s="10"/>
      <c r="BN59" s="6"/>
      <c r="BO59" s="6"/>
      <c r="BP59" s="6"/>
      <c r="BQ59" s="6"/>
      <c r="BR59" s="6"/>
      <c r="BS59" s="6"/>
      <c r="BT59" s="6"/>
      <c r="BU59" s="6"/>
      <c r="BV59" s="14"/>
    </row>
    <row r="60" spans="1:74" x14ac:dyDescent="0.25">
      <c r="A60" s="6" t="s">
        <v>72</v>
      </c>
      <c r="B60" s="12" t="s">
        <v>34</v>
      </c>
      <c r="C60" s="10"/>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14"/>
      <c r="AS60" s="10"/>
      <c r="AT60" s="6"/>
      <c r="AU60" s="6"/>
      <c r="AV60" s="6"/>
      <c r="AW60" s="6"/>
      <c r="AX60" s="6"/>
      <c r="AY60" s="6"/>
      <c r="AZ60" s="6"/>
      <c r="BA60" s="6"/>
      <c r="BB60" s="14"/>
      <c r="BC60" s="10"/>
      <c r="BD60" s="6"/>
      <c r="BE60" s="6"/>
      <c r="BF60" s="6"/>
      <c r="BG60" s="6"/>
      <c r="BH60" s="6"/>
      <c r="BI60" s="6"/>
      <c r="BJ60" s="6"/>
      <c r="BK60" s="6"/>
      <c r="BL60" s="14"/>
      <c r="BM60" s="10"/>
      <c r="BN60" s="6"/>
      <c r="BO60" s="6"/>
      <c r="BP60" s="6"/>
      <c r="BQ60" s="6"/>
      <c r="BR60" s="6"/>
      <c r="BS60" s="6"/>
      <c r="BT60" s="6"/>
      <c r="BU60" s="6"/>
      <c r="BV60" s="14"/>
    </row>
    <row r="61" spans="1:74" x14ac:dyDescent="0.25">
      <c r="A61" s="6"/>
      <c r="B61" s="12"/>
      <c r="C61" s="10"/>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14"/>
      <c r="AS61" s="10"/>
      <c r="AT61" s="6"/>
      <c r="AU61" s="6"/>
      <c r="AV61" s="6"/>
      <c r="AW61" s="6"/>
      <c r="AX61" s="6"/>
      <c r="AY61" s="6"/>
      <c r="AZ61" s="6"/>
      <c r="BA61" s="6"/>
      <c r="BB61" s="14"/>
      <c r="BC61" s="10"/>
      <c r="BD61" s="6"/>
      <c r="BE61" s="6"/>
      <c r="BF61" s="6"/>
      <c r="BG61" s="6"/>
      <c r="BH61" s="6"/>
      <c r="BI61" s="6"/>
      <c r="BJ61" s="6"/>
      <c r="BK61" s="6"/>
      <c r="BL61" s="14"/>
      <c r="BM61" s="10"/>
      <c r="BN61" s="6"/>
      <c r="BO61" s="6"/>
      <c r="BP61" s="6"/>
      <c r="BQ61" s="6"/>
      <c r="BR61" s="6"/>
      <c r="BS61" s="6"/>
      <c r="BT61" s="6"/>
      <c r="BU61" s="6"/>
      <c r="BV61" s="14"/>
    </row>
    <row r="62" spans="1:74" x14ac:dyDescent="0.25">
      <c r="A62" s="6" t="s">
        <v>79</v>
      </c>
      <c r="B62" s="12" t="s">
        <v>36</v>
      </c>
      <c r="C62" s="10"/>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14"/>
      <c r="AS62" s="10"/>
      <c r="AT62" s="6"/>
      <c r="AU62" s="6"/>
      <c r="AV62" s="6"/>
      <c r="AW62" s="6"/>
      <c r="AX62" s="6"/>
      <c r="AY62" s="6"/>
      <c r="AZ62" s="6"/>
      <c r="BA62" s="6"/>
      <c r="BB62" s="14"/>
      <c r="BC62" s="10"/>
      <c r="BD62" s="6"/>
      <c r="BE62" s="6"/>
      <c r="BF62" s="6"/>
      <c r="BG62" s="6"/>
      <c r="BH62" s="6"/>
      <c r="BI62" s="6"/>
      <c r="BJ62" s="6"/>
      <c r="BK62" s="6"/>
      <c r="BL62" s="14"/>
      <c r="BM62" s="10"/>
      <c r="BN62" s="6"/>
      <c r="BO62" s="6"/>
      <c r="BP62" s="6"/>
      <c r="BQ62" s="6"/>
      <c r="BR62" s="6"/>
      <c r="BS62" s="6"/>
      <c r="BT62" s="6"/>
      <c r="BU62" s="6"/>
      <c r="BV62" s="14"/>
    </row>
    <row r="63" spans="1:74" x14ac:dyDescent="0.25">
      <c r="A63" s="6"/>
      <c r="B63" s="12"/>
      <c r="C63" s="10"/>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14"/>
      <c r="AS63" s="10"/>
      <c r="AT63" s="6"/>
      <c r="AU63" s="6"/>
      <c r="AV63" s="6"/>
      <c r="AW63" s="6"/>
      <c r="AX63" s="6"/>
      <c r="AY63" s="6"/>
      <c r="AZ63" s="6"/>
      <c r="BA63" s="6"/>
      <c r="BB63" s="14"/>
      <c r="BC63" s="10"/>
      <c r="BD63" s="6"/>
      <c r="BE63" s="6"/>
      <c r="BF63" s="6"/>
      <c r="BG63" s="6"/>
      <c r="BH63" s="6"/>
      <c r="BI63" s="6"/>
      <c r="BJ63" s="6"/>
      <c r="BK63" s="6"/>
      <c r="BL63" s="14"/>
      <c r="BM63" s="10"/>
      <c r="BN63" s="6"/>
      <c r="BO63" s="6"/>
      <c r="BP63" s="6"/>
      <c r="BQ63" s="6"/>
      <c r="BR63" s="6"/>
      <c r="BS63" s="6"/>
      <c r="BT63" s="6"/>
      <c r="BU63" s="6"/>
      <c r="BV63" s="14"/>
    </row>
    <row r="64" spans="1:74" x14ac:dyDescent="0.25">
      <c r="A64" s="6" t="s">
        <v>78</v>
      </c>
      <c r="B64" s="23" t="s">
        <v>37</v>
      </c>
      <c r="C64" s="10"/>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14"/>
      <c r="AS64" s="10"/>
      <c r="AT64" s="6"/>
      <c r="AU64" s="6"/>
      <c r="AV64" s="6"/>
      <c r="AW64" s="6"/>
      <c r="AX64" s="6"/>
      <c r="AY64" s="6"/>
      <c r="AZ64" s="6"/>
      <c r="BA64" s="6"/>
      <c r="BB64" s="14"/>
      <c r="BC64" s="10"/>
      <c r="BD64" s="6"/>
      <c r="BE64" s="6"/>
      <c r="BF64" s="6"/>
      <c r="BG64" s="6"/>
      <c r="BH64" s="6"/>
      <c r="BI64" s="6"/>
      <c r="BJ64" s="6"/>
      <c r="BK64" s="6"/>
      <c r="BL64" s="14"/>
      <c r="BM64" s="10"/>
      <c r="BN64" s="6"/>
      <c r="BO64" s="6"/>
      <c r="BP64" s="6"/>
      <c r="BQ64" s="6"/>
      <c r="BR64" s="6"/>
      <c r="BS64" s="6"/>
      <c r="BT64" s="6"/>
      <c r="BU64" s="6"/>
      <c r="BV64" s="14"/>
    </row>
    <row r="65" spans="1:74" x14ac:dyDescent="0.25">
      <c r="A65" s="6"/>
      <c r="B65" s="23"/>
      <c r="C65" s="10"/>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14"/>
      <c r="AS65" s="10"/>
      <c r="AT65" s="6"/>
      <c r="AU65" s="6"/>
      <c r="AV65" s="6"/>
      <c r="AW65" s="6"/>
      <c r="AX65" s="6"/>
      <c r="AY65" s="6"/>
      <c r="AZ65" s="6"/>
      <c r="BA65" s="6"/>
      <c r="BB65" s="14"/>
      <c r="BC65" s="10"/>
      <c r="BD65" s="6"/>
      <c r="BE65" s="6"/>
      <c r="BF65" s="6"/>
      <c r="BG65" s="6"/>
      <c r="BH65" s="6"/>
      <c r="BI65" s="6"/>
      <c r="BJ65" s="6"/>
      <c r="BK65" s="6"/>
      <c r="BL65" s="14"/>
      <c r="BM65" s="10"/>
      <c r="BN65" s="6"/>
      <c r="BO65" s="6"/>
      <c r="BP65" s="6"/>
      <c r="BQ65" s="6"/>
      <c r="BR65" s="6"/>
      <c r="BS65" s="6"/>
      <c r="BT65" s="6"/>
      <c r="BU65" s="6"/>
      <c r="BV65" s="14"/>
    </row>
    <row r="66" spans="1:74" ht="23.25" customHeight="1" x14ac:dyDescent="0.25"/>
    <row r="67" spans="1:74" x14ac:dyDescent="0.25">
      <c r="A67" s="26" t="s">
        <v>1</v>
      </c>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row>
    <row r="68" spans="1:74" x14ac:dyDescent="0.25">
      <c r="A68" s="26" t="s">
        <v>76</v>
      </c>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row>
    <row r="70" spans="1:74" ht="54.75" customHeight="1" x14ac:dyDescent="0.25"/>
  </sheetData>
  <mergeCells count="2">
    <mergeCell ref="B20:B24"/>
    <mergeCell ref="B27:B31"/>
  </mergeCells>
  <pageMargins left="0.59055118110236227" right="0.39370078740157483" top="0.39370078740157483" bottom="0.47244094488188981" header="0.31496062992125984" footer="0.31496062992125984"/>
  <pageSetup paperSize="8" scale="76" orientation="landscape"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0AC26-6495-44C3-A29E-6FE8B1EC46A3}">
  <dimension ref="A1"/>
  <sheetViews>
    <sheetView workbookViewId="0">
      <selection activeCell="K45" sqref="K45"/>
    </sheetView>
  </sheetViews>
  <sheetFormatPr defaultRowHeight="15" x14ac:dyDescent="0.25"/>
  <cols>
    <col min="1" max="1" width="2.7109375" customWidth="1"/>
    <col min="2" max="2" width="16.7109375" bestFit="1" customWidth="1"/>
    <col min="3" max="3" width="14.28515625" bestFit="1" customWidth="1"/>
    <col min="4" max="7" width="6" bestFit="1" customWidth="1"/>
    <col min="8" max="8" width="10" bestFit="1" customWidth="1"/>
  </cols>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08C4F-43AE-4472-872D-E1402AD8C4A4}">
  <dimension ref="A1:A82"/>
  <sheetViews>
    <sheetView topLeftCell="A43" workbookViewId="0">
      <selection activeCell="A48" sqref="A48"/>
    </sheetView>
  </sheetViews>
  <sheetFormatPr defaultColWidth="92.28515625" defaultRowHeight="15" x14ac:dyDescent="0.25"/>
  <cols>
    <col min="1" max="1" width="106.7109375" style="192" customWidth="1"/>
    <col min="2" max="16384" width="92.28515625" style="192"/>
  </cols>
  <sheetData>
    <row r="1" spans="1:1" ht="30" x14ac:dyDescent="0.25">
      <c r="A1" s="191" t="s">
        <v>168</v>
      </c>
    </row>
    <row r="2" spans="1:1" ht="21" x14ac:dyDescent="0.25">
      <c r="A2" s="193" t="s">
        <v>213</v>
      </c>
    </row>
    <row r="3" spans="1:1" ht="15.75" x14ac:dyDescent="0.25">
      <c r="A3" s="194"/>
    </row>
    <row r="4" spans="1:1" ht="33.75" x14ac:dyDescent="0.25">
      <c r="A4" s="194" t="s">
        <v>214</v>
      </c>
    </row>
    <row r="5" spans="1:1" ht="18" x14ac:dyDescent="0.25">
      <c r="A5" s="195" t="s">
        <v>215</v>
      </c>
    </row>
    <row r="6" spans="1:1" ht="18" x14ac:dyDescent="0.25">
      <c r="A6" s="195" t="s">
        <v>216</v>
      </c>
    </row>
    <row r="7" spans="1:1" ht="18" x14ac:dyDescent="0.25">
      <c r="A7" s="195" t="s">
        <v>217</v>
      </c>
    </row>
    <row r="8" spans="1:1" ht="15.75" x14ac:dyDescent="0.25">
      <c r="A8" s="194"/>
    </row>
    <row r="9" spans="1:1" ht="47.25" x14ac:dyDescent="0.25">
      <c r="A9" s="194" t="s">
        <v>218</v>
      </c>
    </row>
    <row r="10" spans="1:1" ht="15.75" x14ac:dyDescent="0.25">
      <c r="A10" s="194"/>
    </row>
    <row r="11" spans="1:1" ht="21" x14ac:dyDescent="0.25">
      <c r="A11" s="196" t="s">
        <v>219</v>
      </c>
    </row>
    <row r="12" spans="1:1" ht="15.75" x14ac:dyDescent="0.25">
      <c r="A12" s="194"/>
    </row>
    <row r="13" spans="1:1" ht="63" x14ac:dyDescent="0.25">
      <c r="A13" s="197" t="s">
        <v>220</v>
      </c>
    </row>
    <row r="14" spans="1:1" ht="15.75" x14ac:dyDescent="0.25">
      <c r="A14" s="197"/>
    </row>
    <row r="15" spans="1:1" ht="63" x14ac:dyDescent="0.25">
      <c r="A15" s="194" t="s">
        <v>221</v>
      </c>
    </row>
    <row r="16" spans="1:1" ht="15.75" x14ac:dyDescent="0.25">
      <c r="A16" s="194"/>
    </row>
    <row r="17" spans="1:1" ht="21" x14ac:dyDescent="0.25">
      <c r="A17" s="196" t="s">
        <v>222</v>
      </c>
    </row>
    <row r="18" spans="1:1" ht="15.75" x14ac:dyDescent="0.25">
      <c r="A18" s="194"/>
    </row>
    <row r="19" spans="1:1" ht="94.5" x14ac:dyDescent="0.25">
      <c r="A19" s="194" t="s">
        <v>223</v>
      </c>
    </row>
    <row r="20" spans="1:1" ht="15.75" x14ac:dyDescent="0.25">
      <c r="A20" s="194"/>
    </row>
    <row r="21" spans="1:1" ht="21" x14ac:dyDescent="0.25">
      <c r="A21" s="193" t="s">
        <v>224</v>
      </c>
    </row>
    <row r="22" spans="1:1" ht="15.75" x14ac:dyDescent="0.25">
      <c r="A22" s="194"/>
    </row>
    <row r="23" spans="1:1" ht="63" x14ac:dyDescent="0.25">
      <c r="A23" s="194" t="s">
        <v>225</v>
      </c>
    </row>
    <row r="24" spans="1:1" ht="15.75" x14ac:dyDescent="0.25">
      <c r="A24" s="194"/>
    </row>
    <row r="25" spans="1:1" ht="47.25" x14ac:dyDescent="0.25">
      <c r="A25" s="194" t="s">
        <v>226</v>
      </c>
    </row>
    <row r="27" spans="1:1" ht="63" x14ac:dyDescent="0.25">
      <c r="A27" s="194" t="s">
        <v>227</v>
      </c>
    </row>
    <row r="28" spans="1:1" ht="15.75" x14ac:dyDescent="0.25">
      <c r="A28" s="194"/>
    </row>
    <row r="29" spans="1:1" ht="21" x14ac:dyDescent="0.25">
      <c r="A29" s="193" t="s">
        <v>228</v>
      </c>
    </row>
    <row r="30" spans="1:1" ht="15.75" x14ac:dyDescent="0.25">
      <c r="A30" s="194"/>
    </row>
    <row r="31" spans="1:1" ht="47.25" x14ac:dyDescent="0.25">
      <c r="A31" s="194" t="s">
        <v>229</v>
      </c>
    </row>
    <row r="32" spans="1:1" ht="15.75" x14ac:dyDescent="0.25">
      <c r="A32" s="194"/>
    </row>
    <row r="33" spans="1:1" ht="78.75" x14ac:dyDescent="0.25">
      <c r="A33" s="194" t="s">
        <v>230</v>
      </c>
    </row>
    <row r="34" spans="1:1" ht="15.75" x14ac:dyDescent="0.25">
      <c r="A34" s="194"/>
    </row>
    <row r="35" spans="1:1" ht="70.5" customHeight="1" x14ac:dyDescent="0.25">
      <c r="A35" s="197" t="s">
        <v>257</v>
      </c>
    </row>
    <row r="36" spans="1:1" ht="17.25" customHeight="1" x14ac:dyDescent="0.25">
      <c r="A36" s="197"/>
    </row>
    <row r="37" spans="1:1" ht="60" customHeight="1" x14ac:dyDescent="0.25">
      <c r="A37" s="194" t="s">
        <v>258</v>
      </c>
    </row>
    <row r="38" spans="1:1" ht="14.25" customHeight="1" x14ac:dyDescent="0.25">
      <c r="A38" s="188"/>
    </row>
    <row r="39" spans="1:1" ht="65.25" customHeight="1" x14ac:dyDescent="0.25">
      <c r="A39" s="194" t="s">
        <v>260</v>
      </c>
    </row>
    <row r="40" spans="1:1" ht="14.25" customHeight="1" x14ac:dyDescent="0.25">
      <c r="A40" s="188"/>
    </row>
    <row r="41" spans="1:1" ht="57.75" customHeight="1" x14ac:dyDescent="0.25">
      <c r="A41" s="194" t="s">
        <v>259</v>
      </c>
    </row>
    <row r="42" spans="1:1" ht="15" customHeight="1" x14ac:dyDescent="0.25">
      <c r="A42" s="194"/>
    </row>
    <row r="43" spans="1:1" ht="67.5" customHeight="1" x14ac:dyDescent="0.25">
      <c r="A43" s="197" t="s">
        <v>261</v>
      </c>
    </row>
    <row r="44" spans="1:1" ht="15.75" x14ac:dyDescent="0.25">
      <c r="A44" s="194"/>
    </row>
    <row r="45" spans="1:1" ht="21" x14ac:dyDescent="0.25">
      <c r="A45" s="193" t="s">
        <v>231</v>
      </c>
    </row>
    <row r="46" spans="1:1" ht="15.75" x14ac:dyDescent="0.25">
      <c r="A46" s="194"/>
    </row>
    <row r="47" spans="1:1" ht="94.5" x14ac:dyDescent="0.25">
      <c r="A47" s="194" t="s">
        <v>232</v>
      </c>
    </row>
    <row r="48" spans="1:1" ht="15.75" x14ac:dyDescent="0.25">
      <c r="A48" s="194"/>
    </row>
    <row r="49" spans="1:1" ht="65.25" x14ac:dyDescent="0.25">
      <c r="A49" s="194" t="s">
        <v>233</v>
      </c>
    </row>
    <row r="50" spans="1:1" ht="15.75" x14ac:dyDescent="0.25">
      <c r="A50" s="194"/>
    </row>
    <row r="51" spans="1:1" ht="15.75" x14ac:dyDescent="0.25">
      <c r="A51" s="194"/>
    </row>
    <row r="52" spans="1:1" ht="15.75" x14ac:dyDescent="0.25">
      <c r="A52" s="197" t="s">
        <v>234</v>
      </c>
    </row>
    <row r="53" spans="1:1" ht="15.75" x14ac:dyDescent="0.25">
      <c r="A53" s="194"/>
    </row>
    <row r="54" spans="1:1" ht="78.75" x14ac:dyDescent="0.25">
      <c r="A54" s="194" t="s">
        <v>235</v>
      </c>
    </row>
    <row r="56" spans="1:1" ht="24.75" customHeight="1" x14ac:dyDescent="0.25">
      <c r="A56" s="193" t="s">
        <v>237</v>
      </c>
    </row>
    <row r="57" spans="1:1" ht="15.75" x14ac:dyDescent="0.25">
      <c r="A57" s="188"/>
    </row>
    <row r="58" spans="1:1" ht="15.75" x14ac:dyDescent="0.25">
      <c r="A58" s="197" t="s">
        <v>238</v>
      </c>
    </row>
    <row r="59" spans="1:1" ht="15.75" x14ac:dyDescent="0.25">
      <c r="A59" s="188"/>
    </row>
    <row r="60" spans="1:1" ht="15.75" x14ac:dyDescent="0.25">
      <c r="A60" s="197" t="s">
        <v>239</v>
      </c>
    </row>
    <row r="61" spans="1:1" ht="15.75" x14ac:dyDescent="0.25">
      <c r="A61" s="188"/>
    </row>
    <row r="62" spans="1:1" ht="15.75" x14ac:dyDescent="0.25">
      <c r="A62" s="190" t="s">
        <v>240</v>
      </c>
    </row>
    <row r="63" spans="1:1" ht="15.75" x14ac:dyDescent="0.25">
      <c r="A63" s="188"/>
    </row>
    <row r="64" spans="1:1" ht="21" x14ac:dyDescent="0.25">
      <c r="A64" s="189"/>
    </row>
    <row r="65" spans="1:1" ht="21" x14ac:dyDescent="0.25">
      <c r="A65" s="189" t="s">
        <v>184</v>
      </c>
    </row>
    <row r="66" spans="1:1" ht="15.75" x14ac:dyDescent="0.25">
      <c r="A66" s="188"/>
    </row>
    <row r="67" spans="1:1" ht="47.25" x14ac:dyDescent="0.25">
      <c r="A67" s="194" t="s">
        <v>241</v>
      </c>
    </row>
    <row r="68" spans="1:1" ht="15.75" x14ac:dyDescent="0.25">
      <c r="A68" s="188"/>
    </row>
    <row r="69" spans="1:1" ht="94.5" x14ac:dyDescent="0.25">
      <c r="A69" s="194" t="s">
        <v>242</v>
      </c>
    </row>
    <row r="70" spans="1:1" ht="15.75" x14ac:dyDescent="0.25">
      <c r="A70" s="188"/>
    </row>
    <row r="71" spans="1:1" ht="17.25" customHeight="1" x14ac:dyDescent="0.25">
      <c r="A71" s="194"/>
    </row>
    <row r="72" spans="1:1" ht="17.25" customHeight="1" x14ac:dyDescent="0.25">
      <c r="A72"/>
    </row>
    <row r="73" spans="1:1" ht="17.25" customHeight="1" x14ac:dyDescent="0.25">
      <c r="A73" s="188"/>
    </row>
    <row r="74" spans="1:1" ht="17.25" customHeight="1" x14ac:dyDescent="0.25">
      <c r="A74" s="188"/>
    </row>
    <row r="75" spans="1:1" ht="17.25" customHeight="1" x14ac:dyDescent="0.25">
      <c r="A75" s="188"/>
    </row>
    <row r="76" spans="1:1" ht="15.75" x14ac:dyDescent="0.25">
      <c r="A76" s="188"/>
    </row>
    <row r="77" spans="1:1" ht="15.75" x14ac:dyDescent="0.25">
      <c r="A77" s="188"/>
    </row>
    <row r="78" spans="1:1" ht="15.75" x14ac:dyDescent="0.25">
      <c r="A78" s="188"/>
    </row>
    <row r="79" spans="1:1" ht="15.75" x14ac:dyDescent="0.25">
      <c r="A79" s="188"/>
    </row>
    <row r="80" spans="1:1" ht="15.75" x14ac:dyDescent="0.25">
      <c r="A80" s="188"/>
    </row>
    <row r="81" spans="1:1" ht="15.75" x14ac:dyDescent="0.25">
      <c r="A81" s="188"/>
    </row>
    <row r="82" spans="1:1" ht="15.75" x14ac:dyDescent="0.25">
      <c r="A82" s="188"/>
    </row>
  </sheetData>
  <sheetProtection algorithmName="SHA-512" hashValue="XdjImtO6I6LGh7mJBojX6NR/dpw0ubIzioHJPzb2L9bwtyV5sB7ThvMhHBQuCDAT6mw4+mGBJ4kNpPm/EX6kCg==" saltValue="vlQs44FjCQJApdFERkowXQ=="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A3E04-FCE3-4476-8C25-855A55FA4A2D}">
  <sheetPr codeName="Blad1">
    <pageSetUpPr fitToPage="1"/>
  </sheetPr>
  <dimension ref="A1:BC241"/>
  <sheetViews>
    <sheetView showGridLines="0" tabSelected="1" topLeftCell="A16" zoomScale="90" zoomScaleNormal="90" workbookViewId="0">
      <selection activeCell="D65" sqref="D65"/>
    </sheetView>
  </sheetViews>
  <sheetFormatPr defaultColWidth="0" defaultRowHeight="15" customHeight="1" zeroHeight="1" x14ac:dyDescent="0.25"/>
  <cols>
    <col min="1" max="1" width="31.85546875" customWidth="1"/>
    <col min="2" max="2" width="1.140625" customWidth="1"/>
    <col min="3" max="3" width="2.140625" customWidth="1"/>
    <col min="4" max="4" width="9.5703125" customWidth="1"/>
    <col min="5" max="5" width="9" customWidth="1"/>
    <col min="6" max="6" width="2.140625" customWidth="1"/>
    <col min="7" max="7" width="2.5703125" customWidth="1"/>
    <col min="8" max="8" width="8.140625" customWidth="1"/>
    <col min="9" max="9" width="9.5703125" customWidth="1"/>
    <col min="10" max="10" width="8.7109375" customWidth="1"/>
    <col min="11" max="11" width="8.5703125" customWidth="1"/>
    <col min="12" max="12" width="7.140625" customWidth="1"/>
    <col min="13" max="13" width="8.28515625" customWidth="1"/>
    <col min="14" max="14" width="12.140625" customWidth="1"/>
    <col min="15" max="15" width="4.85546875" customWidth="1"/>
    <col min="16" max="16" width="9.28515625" customWidth="1"/>
    <col min="17" max="17" width="10.5703125" customWidth="1"/>
    <col min="18" max="18" width="27" customWidth="1"/>
    <col min="19" max="46" width="2.7109375" customWidth="1"/>
    <col min="47" max="47" width="17.28515625" style="49" customWidth="1"/>
    <col min="48" max="48" width="16.7109375" style="51" customWidth="1"/>
    <col min="49" max="49" width="7.28515625" style="46" customWidth="1"/>
    <col min="50" max="50" width="17.140625" customWidth="1"/>
    <col min="51" max="55" width="0" hidden="1" customWidth="1"/>
    <col min="56" max="16384" width="9.140625" hidden="1"/>
  </cols>
  <sheetData>
    <row r="1" spans="1:51" ht="49.35" customHeight="1" thickBot="1" x14ac:dyDescent="0.7">
      <c r="A1" s="45" t="s">
        <v>168</v>
      </c>
      <c r="B1" s="45"/>
      <c r="C1" s="45"/>
      <c r="D1" s="45"/>
      <c r="S1" s="237" t="s">
        <v>178</v>
      </c>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8"/>
      <c r="AU1" s="234" t="s">
        <v>179</v>
      </c>
      <c r="AV1" s="235"/>
      <c r="AW1" s="235"/>
      <c r="AX1" s="236"/>
      <c r="AY1" s="2"/>
    </row>
    <row r="2" spans="1:51" ht="21.4" customHeight="1" thickTop="1" x14ac:dyDescent="0.35">
      <c r="A2" s="1"/>
      <c r="B2" s="1"/>
      <c r="C2" s="210" t="s">
        <v>169</v>
      </c>
      <c r="D2" s="211"/>
      <c r="E2" s="211"/>
      <c r="F2" s="212"/>
      <c r="S2" s="152"/>
      <c r="Z2" s="138"/>
      <c r="AJ2" s="138"/>
      <c r="AT2" s="148"/>
      <c r="AU2" s="149"/>
      <c r="AV2" s="57"/>
      <c r="AW2" s="57"/>
      <c r="AX2" s="150"/>
      <c r="AY2" s="43"/>
    </row>
    <row r="3" spans="1:51" ht="15" customHeight="1" x14ac:dyDescent="0.25">
      <c r="A3" s="60"/>
      <c r="B3" s="60"/>
      <c r="C3" s="84"/>
      <c r="D3" s="60"/>
      <c r="E3" s="60"/>
      <c r="F3" s="85"/>
      <c r="G3" s="60"/>
      <c r="H3" s="60"/>
      <c r="I3" s="60"/>
      <c r="J3" s="60"/>
      <c r="K3" s="60"/>
      <c r="L3" s="60"/>
      <c r="M3" s="60"/>
      <c r="N3" s="60"/>
      <c r="O3" s="60"/>
      <c r="P3" s="60"/>
      <c r="Q3" s="223" t="s">
        <v>47</v>
      </c>
      <c r="S3" s="152"/>
      <c r="Z3" s="138"/>
      <c r="AJ3" s="138"/>
      <c r="AT3" s="148"/>
      <c r="AU3" s="141"/>
      <c r="AV3" s="137"/>
      <c r="AW3" s="57"/>
      <c r="AX3" s="142"/>
      <c r="AY3" s="43"/>
    </row>
    <row r="4" spans="1:51" s="27" customFormat="1" ht="15" customHeight="1" x14ac:dyDescent="0.3">
      <c r="A4" s="61"/>
      <c r="B4" s="61"/>
      <c r="C4" s="86"/>
      <c r="D4" s="61" t="s">
        <v>43</v>
      </c>
      <c r="E4" s="61"/>
      <c r="F4" s="87"/>
      <c r="G4" s="61"/>
      <c r="H4" s="61"/>
      <c r="I4" s="61"/>
      <c r="J4" s="61"/>
      <c r="K4" s="61"/>
      <c r="L4" s="61"/>
      <c r="M4" s="61"/>
      <c r="N4" s="61"/>
      <c r="O4" s="61"/>
      <c r="P4" s="61"/>
      <c r="Q4" s="223"/>
      <c r="S4" s="152"/>
      <c r="T4"/>
      <c r="U4"/>
      <c r="V4"/>
      <c r="W4"/>
      <c r="Y4"/>
      <c r="Z4" s="138"/>
      <c r="AA4"/>
      <c r="AB4"/>
      <c r="AC4"/>
      <c r="AD4"/>
      <c r="AE4"/>
      <c r="AF4"/>
      <c r="AG4"/>
      <c r="AI4"/>
      <c r="AJ4" s="138"/>
      <c r="AK4"/>
      <c r="AL4"/>
      <c r="AM4"/>
      <c r="AN4"/>
      <c r="AO4"/>
      <c r="AP4"/>
      <c r="AQ4"/>
      <c r="AS4"/>
      <c r="AT4" s="148"/>
      <c r="AU4" s="151"/>
      <c r="AV4" s="44"/>
      <c r="AX4" s="48"/>
      <c r="AY4" s="44"/>
    </row>
    <row r="5" spans="1:51" ht="15" customHeight="1" thickBot="1" x14ac:dyDescent="0.3">
      <c r="A5" s="60"/>
      <c r="B5" s="60"/>
      <c r="C5" s="84"/>
      <c r="D5" s="60"/>
      <c r="E5" s="60"/>
      <c r="F5" s="85"/>
      <c r="G5" s="60"/>
      <c r="H5" s="60"/>
      <c r="I5" s="203" t="s">
        <v>199</v>
      </c>
      <c r="J5" s="60"/>
      <c r="K5" s="60"/>
      <c r="L5" s="60"/>
      <c r="M5" s="60"/>
      <c r="N5" s="60"/>
      <c r="O5" s="60"/>
      <c r="P5" s="60"/>
      <c r="Q5" s="60"/>
      <c r="S5" s="152"/>
      <c r="Z5" s="138"/>
      <c r="AJ5" s="138"/>
      <c r="AT5" s="148"/>
      <c r="AU5" s="141"/>
      <c r="AV5" s="137"/>
      <c r="AW5" s="57"/>
      <c r="AX5" s="142"/>
      <c r="AY5" s="43"/>
    </row>
    <row r="6" spans="1:51" ht="15" customHeight="1" x14ac:dyDescent="0.35">
      <c r="A6" s="60" t="s">
        <v>92</v>
      </c>
      <c r="B6" s="60"/>
      <c r="C6" s="84"/>
      <c r="D6" s="199" t="s">
        <v>199</v>
      </c>
      <c r="E6" s="60"/>
      <c r="F6" s="85"/>
      <c r="G6" s="60"/>
      <c r="H6" s="60"/>
      <c r="I6" s="203" t="s">
        <v>252</v>
      </c>
      <c r="J6" s="60"/>
      <c r="K6" s="60"/>
      <c r="L6" s="60"/>
      <c r="M6" s="60"/>
      <c r="N6" s="60"/>
      <c r="O6" s="60"/>
      <c r="P6" s="60"/>
      <c r="Q6" s="60"/>
      <c r="S6" s="152"/>
      <c r="Y6" s="243" t="s">
        <v>18</v>
      </c>
      <c r="Z6" s="244"/>
      <c r="AA6" s="145"/>
      <c r="AB6" s="145"/>
      <c r="AC6" s="145"/>
      <c r="AD6" s="145"/>
      <c r="AE6" s="145"/>
      <c r="AF6" s="145"/>
      <c r="AG6" s="145"/>
      <c r="AH6" s="145"/>
      <c r="AI6" s="243" t="s">
        <v>19</v>
      </c>
      <c r="AJ6" s="244"/>
      <c r="AK6" s="145"/>
      <c r="AL6" s="145"/>
      <c r="AM6" s="145"/>
      <c r="AN6" s="145"/>
      <c r="AO6" s="145"/>
      <c r="AP6" s="145"/>
      <c r="AQ6" s="145"/>
      <c r="AR6" s="145"/>
      <c r="AS6" s="243" t="s">
        <v>17</v>
      </c>
      <c r="AT6" s="244"/>
      <c r="AU6" s="242" t="s">
        <v>181</v>
      </c>
      <c r="AV6" s="241" t="s">
        <v>67</v>
      </c>
      <c r="AW6" s="241" t="s">
        <v>182</v>
      </c>
      <c r="AX6" s="241" t="s">
        <v>180</v>
      </c>
      <c r="AY6" s="43"/>
    </row>
    <row r="7" spans="1:51" ht="15" customHeight="1" thickBot="1" x14ac:dyDescent="0.4">
      <c r="A7" s="60" t="s">
        <v>95</v>
      </c>
      <c r="B7" s="60"/>
      <c r="C7" s="84"/>
      <c r="D7" s="200">
        <v>105</v>
      </c>
      <c r="E7" s="60" t="s">
        <v>58</v>
      </c>
      <c r="F7" s="85"/>
      <c r="G7" s="60"/>
      <c r="H7" s="60"/>
      <c r="I7" s="204" t="s">
        <v>253</v>
      </c>
      <c r="J7" s="62"/>
      <c r="K7" s="60"/>
      <c r="L7" s="60"/>
      <c r="M7" s="60"/>
      <c r="N7" s="60"/>
      <c r="O7" s="60"/>
      <c r="P7" s="60"/>
      <c r="Q7" s="60"/>
      <c r="R7" s="201"/>
      <c r="S7" s="152"/>
      <c r="Y7" s="243"/>
      <c r="Z7" s="244"/>
      <c r="AA7" s="145"/>
      <c r="AB7" s="145"/>
      <c r="AC7" s="145"/>
      <c r="AD7" s="145"/>
      <c r="AE7" s="145"/>
      <c r="AF7" s="145"/>
      <c r="AG7" s="145"/>
      <c r="AH7" s="145"/>
      <c r="AI7" s="243"/>
      <c r="AJ7" s="244"/>
      <c r="AK7" s="145"/>
      <c r="AL7" s="145"/>
      <c r="AM7" s="145"/>
      <c r="AN7" s="145"/>
      <c r="AO7" s="145"/>
      <c r="AP7" s="145"/>
      <c r="AQ7" s="145"/>
      <c r="AR7" s="145"/>
      <c r="AS7" s="243"/>
      <c r="AT7" s="244"/>
      <c r="AU7" s="242"/>
      <c r="AV7" s="241"/>
      <c r="AW7" s="241"/>
      <c r="AX7" s="241"/>
      <c r="AY7" s="43"/>
    </row>
    <row r="8" spans="1:51" ht="15" customHeight="1" thickBot="1" x14ac:dyDescent="0.4">
      <c r="A8" s="60"/>
      <c r="B8" s="60"/>
      <c r="C8" s="84"/>
      <c r="D8" s="60"/>
      <c r="E8" s="60"/>
      <c r="F8" s="85"/>
      <c r="G8" s="60"/>
      <c r="H8" s="60"/>
      <c r="I8" s="203" t="s">
        <v>254</v>
      </c>
      <c r="J8" s="60"/>
      <c r="K8" s="60"/>
      <c r="L8" s="60"/>
      <c r="M8" s="60"/>
      <c r="N8" s="60"/>
      <c r="O8" s="60"/>
      <c r="P8" s="60"/>
      <c r="Q8" s="60"/>
      <c r="R8" s="201"/>
      <c r="S8" s="152"/>
      <c r="Y8" s="243"/>
      <c r="Z8" s="244"/>
      <c r="AA8" s="145"/>
      <c r="AB8" s="145"/>
      <c r="AC8" s="145"/>
      <c r="AD8" s="145"/>
      <c r="AE8" s="145"/>
      <c r="AF8" s="145"/>
      <c r="AG8" s="145"/>
      <c r="AH8" s="145"/>
      <c r="AI8" s="243"/>
      <c r="AJ8" s="244"/>
      <c r="AK8" s="145"/>
      <c r="AL8" s="145"/>
      <c r="AM8" s="145"/>
      <c r="AN8" s="145"/>
      <c r="AO8" s="145"/>
      <c r="AP8" s="145"/>
      <c r="AQ8" s="145"/>
      <c r="AR8" s="145"/>
      <c r="AS8" s="243"/>
      <c r="AT8" s="244"/>
      <c r="AU8" s="242"/>
      <c r="AV8" s="241"/>
      <c r="AW8" s="241"/>
      <c r="AX8" s="241"/>
      <c r="AY8" s="43"/>
    </row>
    <row r="9" spans="1:51" ht="15" customHeight="1" thickBot="1" x14ac:dyDescent="0.4">
      <c r="A9" s="60" t="s">
        <v>177</v>
      </c>
      <c r="B9" s="60"/>
      <c r="C9" s="84"/>
      <c r="D9" s="120">
        <v>3250</v>
      </c>
      <c r="E9" s="63" t="s">
        <v>45</v>
      </c>
      <c r="F9" s="88"/>
      <c r="G9" s="63"/>
      <c r="H9" s="63"/>
      <c r="I9" s="60"/>
      <c r="J9" s="60"/>
      <c r="K9" s="62" t="s">
        <v>99</v>
      </c>
      <c r="L9" s="60"/>
      <c r="M9" s="60"/>
      <c r="N9" s="60"/>
      <c r="O9" s="60"/>
      <c r="P9" s="60"/>
      <c r="Q9" s="60"/>
      <c r="R9" s="202"/>
      <c r="S9" s="152"/>
      <c r="Y9" s="243"/>
      <c r="Z9" s="244"/>
      <c r="AA9" s="145"/>
      <c r="AB9" s="145"/>
      <c r="AC9" s="145"/>
      <c r="AD9" s="145"/>
      <c r="AE9" s="145"/>
      <c r="AF9" s="145"/>
      <c r="AG9" s="145"/>
      <c r="AH9" s="145"/>
      <c r="AI9" s="243"/>
      <c r="AJ9" s="244"/>
      <c r="AK9" s="145"/>
      <c r="AL9" s="145"/>
      <c r="AM9" s="145"/>
      <c r="AN9" s="145"/>
      <c r="AO9" s="145"/>
      <c r="AP9" s="145"/>
      <c r="AQ9" s="145"/>
      <c r="AR9" s="145"/>
      <c r="AS9" s="243"/>
      <c r="AT9" s="244"/>
      <c r="AU9" s="242"/>
      <c r="AV9" s="241"/>
      <c r="AW9" s="241"/>
      <c r="AX9" s="241"/>
      <c r="AY9" s="43"/>
    </row>
    <row r="10" spans="1:51" ht="15" customHeight="1" thickBot="1" x14ac:dyDescent="0.4">
      <c r="A10" s="60" t="s">
        <v>164</v>
      </c>
      <c r="B10" s="60"/>
      <c r="C10" s="84"/>
      <c r="D10" s="121">
        <v>1500</v>
      </c>
      <c r="E10" s="64" t="s">
        <v>93</v>
      </c>
      <c r="F10" s="89"/>
      <c r="G10" s="64"/>
      <c r="H10" s="64"/>
      <c r="I10" s="60"/>
      <c r="J10" s="60"/>
      <c r="K10" s="119">
        <f>D10/1500</f>
        <v>1</v>
      </c>
      <c r="L10" s="60"/>
      <c r="M10" s="60"/>
      <c r="N10" s="60"/>
      <c r="O10" s="60"/>
      <c r="P10" s="60"/>
      <c r="Q10" s="60"/>
      <c r="R10" s="202"/>
      <c r="S10" s="152"/>
      <c r="Y10" s="243"/>
      <c r="Z10" s="244"/>
      <c r="AA10" s="145"/>
      <c r="AB10" s="145"/>
      <c r="AC10" s="145"/>
      <c r="AD10" s="145"/>
      <c r="AE10" s="145"/>
      <c r="AF10" s="145"/>
      <c r="AG10" s="145"/>
      <c r="AH10" s="145"/>
      <c r="AI10" s="243"/>
      <c r="AJ10" s="244"/>
      <c r="AK10" s="145"/>
      <c r="AL10" s="145"/>
      <c r="AM10" s="145"/>
      <c r="AN10" s="145"/>
      <c r="AO10" s="145"/>
      <c r="AP10" s="145"/>
      <c r="AQ10" s="145"/>
      <c r="AR10" s="145"/>
      <c r="AS10" s="243"/>
      <c r="AT10" s="244"/>
      <c r="AU10" s="242"/>
      <c r="AV10" s="241"/>
      <c r="AW10" s="241"/>
      <c r="AX10" s="241"/>
      <c r="AY10" s="43"/>
    </row>
    <row r="11" spans="1:51" ht="15" customHeight="1" x14ac:dyDescent="0.35">
      <c r="A11" s="60"/>
      <c r="B11" s="60"/>
      <c r="C11" s="84"/>
      <c r="D11" s="166"/>
      <c r="E11" s="64"/>
      <c r="F11" s="89"/>
      <c r="G11" s="64"/>
      <c r="H11" s="64"/>
      <c r="I11" s="60"/>
      <c r="J11" s="60"/>
      <c r="K11" s="161"/>
      <c r="L11" s="60"/>
      <c r="M11" s="60"/>
      <c r="N11" s="60"/>
      <c r="O11" s="60"/>
      <c r="P11" s="60"/>
      <c r="Q11" s="60"/>
      <c r="R11" s="42"/>
      <c r="S11" s="152"/>
      <c r="Y11" s="243"/>
      <c r="Z11" s="244"/>
      <c r="AA11" s="145"/>
      <c r="AB11" s="145"/>
      <c r="AC11" s="145"/>
      <c r="AD11" s="145"/>
      <c r="AE11" s="145"/>
      <c r="AF11" s="145"/>
      <c r="AG11" s="145"/>
      <c r="AH11" s="145"/>
      <c r="AI11" s="243"/>
      <c r="AJ11" s="244"/>
      <c r="AK11" s="145"/>
      <c r="AL11" s="145"/>
      <c r="AM11" s="145"/>
      <c r="AN11" s="145"/>
      <c r="AO11" s="145"/>
      <c r="AP11" s="145"/>
      <c r="AQ11" s="145"/>
      <c r="AR11" s="145"/>
      <c r="AS11" s="243"/>
      <c r="AT11" s="244"/>
      <c r="AU11" s="242"/>
      <c r="AV11" s="241"/>
      <c r="AW11" s="241"/>
      <c r="AX11" s="241"/>
      <c r="AY11" s="43"/>
    </row>
    <row r="12" spans="1:51" ht="15" customHeight="1" thickBot="1" x14ac:dyDescent="0.4">
      <c r="A12" s="62" t="s">
        <v>175</v>
      </c>
      <c r="B12" s="60"/>
      <c r="C12" s="84"/>
      <c r="D12" s="72" t="s">
        <v>188</v>
      </c>
      <c r="E12" s="62" t="s">
        <v>187</v>
      </c>
      <c r="F12" s="85"/>
      <c r="G12" s="60"/>
      <c r="H12" s="81"/>
      <c r="I12" s="60"/>
      <c r="J12" s="80">
        <f>IF(D27="Ja", 0, 37)</f>
        <v>37</v>
      </c>
      <c r="K12" s="60"/>
      <c r="L12" s="60"/>
      <c r="M12" s="60"/>
      <c r="N12" s="60"/>
      <c r="O12" s="60"/>
      <c r="P12" s="60"/>
      <c r="Q12" s="60"/>
      <c r="R12" s="42"/>
      <c r="S12" s="152"/>
      <c r="Y12" s="243"/>
      <c r="Z12" s="244"/>
      <c r="AA12" s="145"/>
      <c r="AB12" s="145"/>
      <c r="AC12" s="145"/>
      <c r="AD12" s="145"/>
      <c r="AE12" s="145"/>
      <c r="AF12" s="145"/>
      <c r="AG12" s="145"/>
      <c r="AH12" s="145"/>
      <c r="AI12" s="243"/>
      <c r="AJ12" s="244"/>
      <c r="AK12" s="145"/>
      <c r="AL12" s="145"/>
      <c r="AM12" s="145"/>
      <c r="AN12" s="145"/>
      <c r="AO12" s="145"/>
      <c r="AP12" s="145"/>
      <c r="AQ12" s="145"/>
      <c r="AR12" s="145"/>
      <c r="AS12" s="243"/>
      <c r="AT12" s="244"/>
      <c r="AU12" s="242"/>
      <c r="AV12" s="241"/>
      <c r="AW12" s="241"/>
      <c r="AX12" s="241"/>
      <c r="AY12" s="43"/>
    </row>
    <row r="13" spans="1:51" ht="15" customHeight="1" x14ac:dyDescent="0.35">
      <c r="A13" s="60" t="s">
        <v>190</v>
      </c>
      <c r="B13" s="60"/>
      <c r="C13" s="84"/>
      <c r="D13" s="162">
        <v>4</v>
      </c>
      <c r="E13" s="167">
        <v>4</v>
      </c>
      <c r="F13" s="85"/>
      <c r="G13" s="60"/>
      <c r="H13" s="60"/>
      <c r="I13" s="60"/>
      <c r="J13" s="80">
        <f>D10-J12</f>
        <v>1463</v>
      </c>
      <c r="K13" s="60"/>
      <c r="L13" s="60"/>
      <c r="M13" s="60"/>
      <c r="N13" s="60"/>
      <c r="O13" s="60"/>
      <c r="P13" s="60"/>
      <c r="Q13" s="60"/>
      <c r="S13" s="152"/>
      <c r="Y13" s="243"/>
      <c r="Z13" s="244"/>
      <c r="AA13" s="145"/>
      <c r="AB13" s="145"/>
      <c r="AC13" s="145"/>
      <c r="AD13" s="145"/>
      <c r="AE13" s="145"/>
      <c r="AF13" s="145"/>
      <c r="AG13" s="145"/>
      <c r="AH13" s="145"/>
      <c r="AI13" s="243"/>
      <c r="AJ13" s="244"/>
      <c r="AK13" s="145"/>
      <c r="AL13" s="145"/>
      <c r="AM13" s="145"/>
      <c r="AN13" s="145"/>
      <c r="AO13" s="145"/>
      <c r="AP13" s="145"/>
      <c r="AQ13" s="145"/>
      <c r="AR13" s="145"/>
      <c r="AS13" s="243"/>
      <c r="AT13" s="244"/>
      <c r="AU13" s="242"/>
      <c r="AV13" s="241"/>
      <c r="AW13" s="241"/>
      <c r="AX13" s="241"/>
      <c r="AY13" s="43"/>
    </row>
    <row r="14" spans="1:51" ht="15" customHeight="1" x14ac:dyDescent="0.35">
      <c r="A14" s="60" t="s">
        <v>191</v>
      </c>
      <c r="B14" s="60"/>
      <c r="C14" s="84"/>
      <c r="D14" s="163">
        <v>10</v>
      </c>
      <c r="E14" s="168">
        <v>9</v>
      </c>
      <c r="F14" s="85"/>
      <c r="G14" s="60"/>
      <c r="H14" s="60"/>
      <c r="I14" s="60"/>
      <c r="J14" s="65"/>
      <c r="K14" s="60"/>
      <c r="L14" s="60"/>
      <c r="M14" s="60"/>
      <c r="N14" s="60"/>
      <c r="O14" s="60"/>
      <c r="P14" s="60"/>
      <c r="Q14" s="60"/>
      <c r="S14" s="152"/>
      <c r="Y14" s="243"/>
      <c r="Z14" s="244"/>
      <c r="AA14" s="145"/>
      <c r="AB14" s="145"/>
      <c r="AC14" s="145"/>
      <c r="AD14" s="145"/>
      <c r="AE14" s="145"/>
      <c r="AF14" s="145"/>
      <c r="AG14" s="145"/>
      <c r="AH14" s="145"/>
      <c r="AI14" s="243"/>
      <c r="AJ14" s="244"/>
      <c r="AK14" s="145"/>
      <c r="AL14" s="145"/>
      <c r="AM14" s="145"/>
      <c r="AN14" s="145"/>
      <c r="AO14" s="145"/>
      <c r="AP14" s="145"/>
      <c r="AQ14" s="145"/>
      <c r="AR14" s="145"/>
      <c r="AS14" s="243"/>
      <c r="AT14" s="244"/>
      <c r="AU14" s="242"/>
      <c r="AV14" s="241"/>
      <c r="AW14" s="241"/>
      <c r="AX14" s="241"/>
      <c r="AY14" s="43"/>
    </row>
    <row r="15" spans="1:51" ht="15" customHeight="1" x14ac:dyDescent="0.35">
      <c r="A15" s="60" t="s">
        <v>94</v>
      </c>
      <c r="B15" s="60"/>
      <c r="C15" s="84"/>
      <c r="D15" s="164">
        <v>9</v>
      </c>
      <c r="E15" s="168">
        <v>7</v>
      </c>
      <c r="F15" s="85"/>
      <c r="G15" s="60"/>
      <c r="H15" s="60"/>
      <c r="I15" s="60"/>
      <c r="J15" s="65"/>
      <c r="K15" s="60"/>
      <c r="L15" s="60"/>
      <c r="M15" s="60"/>
      <c r="N15" s="60"/>
      <c r="O15" s="60"/>
      <c r="P15" s="60"/>
      <c r="Q15" s="60"/>
      <c r="S15" s="152"/>
      <c r="Y15" s="243"/>
      <c r="Z15" s="244"/>
      <c r="AA15" s="145"/>
      <c r="AB15" s="145"/>
      <c r="AC15" s="145"/>
      <c r="AD15" s="145"/>
      <c r="AE15" s="145"/>
      <c r="AF15" s="145"/>
      <c r="AG15" s="145"/>
      <c r="AH15" s="145"/>
      <c r="AI15" s="243"/>
      <c r="AJ15" s="244"/>
      <c r="AK15" s="145"/>
      <c r="AL15" s="145"/>
      <c r="AM15" s="145"/>
      <c r="AN15" s="145"/>
      <c r="AO15" s="145"/>
      <c r="AP15" s="145"/>
      <c r="AQ15" s="145"/>
      <c r="AR15" s="145"/>
      <c r="AS15" s="243"/>
      <c r="AT15" s="244"/>
      <c r="AU15" s="242"/>
      <c r="AV15" s="241"/>
      <c r="AW15" s="241"/>
      <c r="AX15" s="241"/>
      <c r="AY15" s="43"/>
    </row>
    <row r="16" spans="1:51" ht="15" customHeight="1" thickBot="1" x14ac:dyDescent="0.4">
      <c r="A16" s="60" t="s">
        <v>176</v>
      </c>
      <c r="B16" s="60"/>
      <c r="C16" s="84"/>
      <c r="D16" s="165">
        <v>6</v>
      </c>
      <c r="E16" s="169">
        <v>6</v>
      </c>
      <c r="F16" s="85"/>
      <c r="G16" s="60"/>
      <c r="H16" s="60"/>
      <c r="I16" s="60"/>
      <c r="J16" s="65"/>
      <c r="K16" s="60"/>
      <c r="L16" s="60"/>
      <c r="M16" s="60"/>
      <c r="N16" s="60"/>
      <c r="O16" s="60"/>
      <c r="P16" s="60"/>
      <c r="Q16" s="60"/>
      <c r="S16" s="152"/>
      <c r="Y16" s="243"/>
      <c r="Z16" s="244"/>
      <c r="AA16" s="145"/>
      <c r="AB16" s="145"/>
      <c r="AC16" s="145"/>
      <c r="AD16" s="145"/>
      <c r="AE16" s="145"/>
      <c r="AF16" s="145"/>
      <c r="AG16" s="145"/>
      <c r="AH16" s="145"/>
      <c r="AI16" s="243"/>
      <c r="AJ16" s="244"/>
      <c r="AK16" s="145"/>
      <c r="AL16" s="145"/>
      <c r="AM16" s="145"/>
      <c r="AN16" s="145"/>
      <c r="AO16" s="145"/>
      <c r="AP16" s="145"/>
      <c r="AQ16" s="145"/>
      <c r="AR16" s="145"/>
      <c r="AS16" s="243"/>
      <c r="AT16" s="244"/>
      <c r="AU16" s="242"/>
      <c r="AV16" s="241"/>
      <c r="AW16" s="241"/>
      <c r="AX16" s="241"/>
      <c r="AY16" s="43"/>
    </row>
    <row r="17" spans="1:51" ht="15" customHeight="1" thickBot="1" x14ac:dyDescent="0.4">
      <c r="A17" s="60"/>
      <c r="B17" s="60"/>
      <c r="C17" s="84"/>
      <c r="D17" s="60"/>
      <c r="E17" s="60"/>
      <c r="F17" s="85"/>
      <c r="G17" s="60"/>
      <c r="H17" s="60"/>
      <c r="I17" s="60"/>
      <c r="J17" s="65"/>
      <c r="K17" s="60"/>
      <c r="L17" s="60"/>
      <c r="M17" s="60"/>
      <c r="N17" s="60"/>
      <c r="O17" s="60"/>
      <c r="P17" s="60"/>
      <c r="Q17" s="60"/>
      <c r="S17" s="152"/>
      <c r="Y17" s="243"/>
      <c r="Z17" s="244"/>
      <c r="AA17" s="145"/>
      <c r="AB17" s="145"/>
      <c r="AC17" s="145"/>
      <c r="AD17" s="145"/>
      <c r="AE17" s="145"/>
      <c r="AF17" s="145"/>
      <c r="AG17" s="145"/>
      <c r="AH17" s="145"/>
      <c r="AI17" s="243"/>
      <c r="AJ17" s="244"/>
      <c r="AK17" s="145"/>
      <c r="AL17" s="145"/>
      <c r="AM17" s="145"/>
      <c r="AN17" s="145"/>
      <c r="AO17" s="145"/>
      <c r="AP17" s="145"/>
      <c r="AQ17" s="145"/>
      <c r="AR17" s="145"/>
      <c r="AS17" s="243"/>
      <c r="AT17" s="244"/>
      <c r="AU17" s="242"/>
      <c r="AV17" s="241"/>
      <c r="AW17" s="241"/>
      <c r="AX17" s="241"/>
      <c r="AY17" s="43"/>
    </row>
    <row r="18" spans="1:51" ht="15" customHeight="1" thickBot="1" x14ac:dyDescent="0.4">
      <c r="A18" s="60" t="s">
        <v>189</v>
      </c>
      <c r="B18" s="60"/>
      <c r="C18" s="84"/>
      <c r="D18" s="122">
        <f>((D13*D15*D14*(52-D16)*7)/1000*4)*9.7</f>
        <v>4497.6959999999999</v>
      </c>
      <c r="E18" s="122">
        <f>((E13*E15*E14*(52-E16)*7)/1000*4)*9.7</f>
        <v>3148.3872000000001</v>
      </c>
      <c r="F18" s="90"/>
      <c r="G18" s="79"/>
      <c r="H18" s="82"/>
      <c r="I18" s="60"/>
      <c r="J18" s="60"/>
      <c r="K18" s="60"/>
      <c r="L18" s="60"/>
      <c r="M18" s="60"/>
      <c r="N18" s="60"/>
      <c r="O18" s="60"/>
      <c r="P18" s="60"/>
      <c r="Q18" s="60"/>
      <c r="S18" s="152"/>
      <c r="Y18" s="243"/>
      <c r="Z18" s="244"/>
      <c r="AA18" s="145"/>
      <c r="AB18" s="145"/>
      <c r="AC18" s="145"/>
      <c r="AD18" s="145"/>
      <c r="AE18" s="145"/>
      <c r="AF18" s="145"/>
      <c r="AG18" s="145"/>
      <c r="AH18" s="145"/>
      <c r="AI18" s="243"/>
      <c r="AJ18" s="244"/>
      <c r="AK18" s="145"/>
      <c r="AL18" s="145"/>
      <c r="AM18" s="145"/>
      <c r="AN18" s="145"/>
      <c r="AO18" s="145"/>
      <c r="AP18" s="145"/>
      <c r="AQ18" s="145"/>
      <c r="AR18" s="145"/>
      <c r="AS18" s="243"/>
      <c r="AT18" s="244"/>
      <c r="AU18" s="242"/>
      <c r="AV18" s="241"/>
      <c r="AW18" s="241"/>
      <c r="AX18" s="241"/>
      <c r="AY18" s="43"/>
    </row>
    <row r="19" spans="1:51" ht="15" customHeight="1" thickBot="1" x14ac:dyDescent="0.4">
      <c r="A19" s="60"/>
      <c r="B19" s="60"/>
      <c r="C19" s="84"/>
      <c r="D19" s="60"/>
      <c r="E19" s="60"/>
      <c r="F19" s="85"/>
      <c r="G19" s="60"/>
      <c r="H19" s="60"/>
      <c r="I19" s="60"/>
      <c r="J19" s="66"/>
      <c r="K19" s="60"/>
      <c r="L19" s="60"/>
      <c r="M19" s="60"/>
      <c r="N19" s="60"/>
      <c r="O19" s="60"/>
      <c r="P19" s="60"/>
      <c r="Q19" s="60"/>
      <c r="S19" s="152"/>
      <c r="Y19" s="243"/>
      <c r="Z19" s="244"/>
      <c r="AA19" s="145"/>
      <c r="AB19" s="145"/>
      <c r="AC19" s="145"/>
      <c r="AD19" s="145"/>
      <c r="AE19" s="145"/>
      <c r="AF19" s="145"/>
      <c r="AG19" s="145"/>
      <c r="AH19" s="145"/>
      <c r="AI19" s="243"/>
      <c r="AJ19" s="244"/>
      <c r="AK19" s="145"/>
      <c r="AL19" s="145"/>
      <c r="AM19" s="145"/>
      <c r="AN19" s="145"/>
      <c r="AO19" s="145"/>
      <c r="AP19" s="145"/>
      <c r="AQ19" s="145"/>
      <c r="AR19" s="145"/>
      <c r="AS19" s="243"/>
      <c r="AT19" s="244"/>
      <c r="AU19" s="242"/>
      <c r="AV19" s="241"/>
      <c r="AW19" s="241"/>
      <c r="AX19" s="241"/>
      <c r="AY19" s="43"/>
    </row>
    <row r="20" spans="1:51" ht="15" customHeight="1" thickBot="1" x14ac:dyDescent="0.4">
      <c r="A20" s="60" t="s">
        <v>97</v>
      </c>
      <c r="B20" s="60"/>
      <c r="C20" s="84"/>
      <c r="D20" s="60"/>
      <c r="E20" s="60"/>
      <c r="F20" s="85"/>
      <c r="G20" s="60"/>
      <c r="H20" s="60"/>
      <c r="I20" s="65"/>
      <c r="J20" s="124">
        <f>((J13*9.77)-D18)/D7</f>
        <v>93.293466666666674</v>
      </c>
      <c r="K20" s="60"/>
      <c r="L20" s="60"/>
      <c r="M20" s="60"/>
      <c r="N20" s="60"/>
      <c r="O20" s="60"/>
      <c r="P20" s="60"/>
      <c r="Q20" s="60"/>
      <c r="S20" s="152"/>
      <c r="Y20" s="243"/>
      <c r="Z20" s="244"/>
      <c r="AA20" s="145"/>
      <c r="AB20" s="145"/>
      <c r="AC20" s="145"/>
      <c r="AD20" s="145"/>
      <c r="AE20" s="145"/>
      <c r="AF20" s="145"/>
      <c r="AG20" s="145"/>
      <c r="AH20" s="145"/>
      <c r="AI20" s="243"/>
      <c r="AJ20" s="244"/>
      <c r="AK20" s="145"/>
      <c r="AL20" s="145"/>
      <c r="AM20" s="145"/>
      <c r="AN20" s="145"/>
      <c r="AO20" s="145"/>
      <c r="AP20" s="145"/>
      <c r="AQ20" s="145"/>
      <c r="AR20" s="145"/>
      <c r="AS20" s="243"/>
      <c r="AT20" s="244"/>
      <c r="AU20" s="242"/>
      <c r="AV20" s="241"/>
      <c r="AW20" s="241"/>
      <c r="AX20" s="241"/>
      <c r="AY20" s="43"/>
    </row>
    <row r="21" spans="1:51" ht="15" customHeight="1" thickBot="1" x14ac:dyDescent="0.3">
      <c r="A21" s="60"/>
      <c r="B21" s="60"/>
      <c r="C21" s="84"/>
      <c r="D21" s="60"/>
      <c r="E21" s="60"/>
      <c r="F21" s="85"/>
      <c r="G21" s="60"/>
      <c r="H21" s="60"/>
      <c r="I21" s="60"/>
      <c r="J21" s="62"/>
      <c r="K21" s="60"/>
      <c r="L21" s="60"/>
      <c r="M21" s="60"/>
      <c r="N21" s="60"/>
      <c r="O21" s="60"/>
      <c r="P21" s="60"/>
      <c r="Q21" s="60"/>
      <c r="S21" s="232">
        <v>2023</v>
      </c>
      <c r="T21" s="230">
        <v>2024</v>
      </c>
      <c r="U21" s="230">
        <v>2025</v>
      </c>
      <c r="V21" s="230">
        <v>2026</v>
      </c>
      <c r="W21" s="230">
        <v>2027</v>
      </c>
      <c r="X21" s="230">
        <v>2028</v>
      </c>
      <c r="Y21" s="230">
        <v>2029</v>
      </c>
      <c r="Z21" s="239">
        <v>2030</v>
      </c>
      <c r="AA21" s="230">
        <v>2031</v>
      </c>
      <c r="AB21" s="230">
        <v>2032</v>
      </c>
      <c r="AC21" s="230">
        <v>2033</v>
      </c>
      <c r="AD21" s="230">
        <v>2034</v>
      </c>
      <c r="AE21" s="230">
        <v>2035</v>
      </c>
      <c r="AF21" s="230">
        <v>2036</v>
      </c>
      <c r="AG21" s="230">
        <v>2037</v>
      </c>
      <c r="AH21" s="230">
        <v>2038</v>
      </c>
      <c r="AI21" s="230">
        <v>2039</v>
      </c>
      <c r="AJ21" s="239">
        <v>2040</v>
      </c>
      <c r="AK21" s="230">
        <v>2041</v>
      </c>
      <c r="AL21" s="230">
        <v>2042</v>
      </c>
      <c r="AM21" s="230">
        <v>2043</v>
      </c>
      <c r="AN21" s="230">
        <v>2044</v>
      </c>
      <c r="AO21" s="230">
        <v>2045</v>
      </c>
      <c r="AP21" s="230">
        <v>2046</v>
      </c>
      <c r="AQ21" s="230">
        <v>2047</v>
      </c>
      <c r="AR21" s="230">
        <v>2048</v>
      </c>
      <c r="AS21" s="230">
        <v>2049</v>
      </c>
      <c r="AT21" s="239">
        <v>2050</v>
      </c>
      <c r="AU21" s="140"/>
      <c r="AV21" s="146"/>
      <c r="AW21" s="146"/>
      <c r="AX21" s="146"/>
      <c r="AY21" s="43"/>
    </row>
    <row r="22" spans="1:51" ht="15" customHeight="1" thickBot="1" x14ac:dyDescent="0.3">
      <c r="A22" s="60" t="s">
        <v>96</v>
      </c>
      <c r="B22" s="60"/>
      <c r="C22" s="84"/>
      <c r="D22" s="60"/>
      <c r="E22" s="60"/>
      <c r="F22" s="85"/>
      <c r="G22" s="60"/>
      <c r="H22" s="60"/>
      <c r="I22" s="60"/>
      <c r="J22" s="60"/>
      <c r="K22" s="60"/>
      <c r="L22" s="60"/>
      <c r="M22" s="122">
        <f>J20*D7</f>
        <v>9795.8140000000003</v>
      </c>
      <c r="N22" s="60" t="s">
        <v>45</v>
      </c>
      <c r="O22" s="60"/>
      <c r="P22" s="60"/>
      <c r="Q22" s="60"/>
      <c r="S22" s="232"/>
      <c r="T22" s="230"/>
      <c r="U22" s="230"/>
      <c r="V22" s="230"/>
      <c r="W22" s="230"/>
      <c r="X22" s="230"/>
      <c r="Y22" s="230"/>
      <c r="Z22" s="239"/>
      <c r="AA22" s="230"/>
      <c r="AB22" s="230"/>
      <c r="AC22" s="230"/>
      <c r="AD22" s="230"/>
      <c r="AE22" s="230"/>
      <c r="AF22" s="230"/>
      <c r="AG22" s="230"/>
      <c r="AH22" s="230"/>
      <c r="AI22" s="230"/>
      <c r="AJ22" s="239"/>
      <c r="AK22" s="230"/>
      <c r="AL22" s="230"/>
      <c r="AM22" s="230"/>
      <c r="AN22" s="230"/>
      <c r="AO22" s="230"/>
      <c r="AP22" s="230"/>
      <c r="AQ22" s="230"/>
      <c r="AR22" s="230"/>
      <c r="AS22" s="230"/>
      <c r="AT22" s="239"/>
      <c r="AU22" s="140"/>
      <c r="AV22" s="146"/>
      <c r="AW22" s="146"/>
      <c r="AX22" s="146"/>
      <c r="AY22" s="43"/>
    </row>
    <row r="23" spans="1:51" ht="15" customHeight="1" thickBot="1" x14ac:dyDescent="0.3">
      <c r="A23" s="60"/>
      <c r="B23" s="60"/>
      <c r="C23" s="84"/>
      <c r="D23" s="60"/>
      <c r="E23" s="60"/>
      <c r="F23" s="85"/>
      <c r="G23" s="60"/>
      <c r="H23" s="60"/>
      <c r="I23" s="60"/>
      <c r="J23" s="60"/>
      <c r="K23" s="60"/>
      <c r="L23" s="60"/>
      <c r="M23" s="60"/>
      <c r="N23" s="60"/>
      <c r="O23" s="60"/>
      <c r="P23" s="60"/>
      <c r="Q23" s="60"/>
      <c r="S23" s="233"/>
      <c r="T23" s="231"/>
      <c r="U23" s="231"/>
      <c r="V23" s="231"/>
      <c r="W23" s="231"/>
      <c r="X23" s="231"/>
      <c r="Y23" s="231"/>
      <c r="Z23" s="240"/>
      <c r="AA23" s="231"/>
      <c r="AB23" s="231"/>
      <c r="AC23" s="231"/>
      <c r="AD23" s="231"/>
      <c r="AE23" s="231"/>
      <c r="AF23" s="231"/>
      <c r="AG23" s="231"/>
      <c r="AH23" s="231"/>
      <c r="AI23" s="231"/>
      <c r="AJ23" s="240"/>
      <c r="AK23" s="231"/>
      <c r="AL23" s="231"/>
      <c r="AM23" s="231"/>
      <c r="AN23" s="231"/>
      <c r="AO23" s="231"/>
      <c r="AP23" s="231"/>
      <c r="AQ23" s="231"/>
      <c r="AR23" s="231"/>
      <c r="AS23" s="231"/>
      <c r="AT23" s="240"/>
      <c r="AU23" s="140"/>
      <c r="AV23" s="146"/>
      <c r="AW23" s="146"/>
      <c r="AX23" s="146"/>
      <c r="AY23" s="43"/>
    </row>
    <row r="24" spans="1:51" ht="8.25" customHeight="1" x14ac:dyDescent="0.25">
      <c r="C24" s="91"/>
      <c r="F24" s="92"/>
      <c r="S24" s="6"/>
      <c r="T24" s="6"/>
      <c r="U24" s="6"/>
      <c r="V24" s="6"/>
      <c r="W24" s="6"/>
      <c r="X24" s="6"/>
      <c r="Y24" s="6"/>
      <c r="Z24" s="14"/>
      <c r="AA24" s="10"/>
      <c r="AB24" s="6"/>
      <c r="AC24" s="6"/>
      <c r="AD24" s="6"/>
      <c r="AE24" s="6"/>
      <c r="AF24" s="6"/>
      <c r="AG24" s="6"/>
      <c r="AH24" s="6"/>
      <c r="AI24" s="6"/>
      <c r="AJ24" s="14"/>
      <c r="AK24" s="10"/>
      <c r="AL24" s="6"/>
      <c r="AM24" s="6"/>
      <c r="AN24" s="6"/>
      <c r="AO24" s="6"/>
      <c r="AP24" s="6"/>
      <c r="AQ24" s="6"/>
      <c r="AR24" s="6"/>
      <c r="AS24" s="6"/>
      <c r="AT24" s="14"/>
      <c r="AU24" s="47"/>
      <c r="AV24" s="50"/>
      <c r="AX24" s="147"/>
      <c r="AY24" s="43"/>
    </row>
    <row r="25" spans="1:51" ht="15" customHeight="1" x14ac:dyDescent="0.25">
      <c r="A25" s="32" t="s">
        <v>46</v>
      </c>
      <c r="B25" s="32"/>
      <c r="C25" s="93"/>
      <c r="D25" s="32"/>
      <c r="E25" s="28"/>
      <c r="F25" s="94"/>
      <c r="G25" s="28"/>
      <c r="H25" s="28"/>
      <c r="I25" s="28"/>
      <c r="J25" s="28"/>
      <c r="K25" s="28"/>
      <c r="L25" s="28"/>
      <c r="M25" s="28"/>
      <c r="N25" s="28"/>
      <c r="O25" s="28"/>
      <c r="P25" s="28"/>
      <c r="Q25" s="222" t="s">
        <v>48</v>
      </c>
      <c r="S25" s="6"/>
      <c r="T25" s="6"/>
      <c r="U25" s="6"/>
      <c r="V25" s="6"/>
      <c r="W25" s="6"/>
      <c r="X25" s="6"/>
      <c r="Y25" s="6"/>
      <c r="Z25" s="14"/>
      <c r="AA25" s="10"/>
      <c r="AB25" s="6"/>
      <c r="AC25" s="6"/>
      <c r="AD25" s="6"/>
      <c r="AE25" s="6"/>
      <c r="AF25" s="6"/>
      <c r="AG25" s="6"/>
      <c r="AH25" s="6"/>
      <c r="AI25" s="6"/>
      <c r="AJ25" s="14"/>
      <c r="AK25" s="10"/>
      <c r="AL25" s="6"/>
      <c r="AM25" s="6"/>
      <c r="AN25" s="6"/>
      <c r="AO25" s="6"/>
      <c r="AP25" s="6"/>
      <c r="AQ25" s="6"/>
      <c r="AR25" s="6"/>
      <c r="AS25" s="6"/>
      <c r="AT25" s="14"/>
      <c r="AU25" s="47"/>
      <c r="AV25" s="50"/>
      <c r="AX25" s="147"/>
      <c r="AY25" s="43"/>
    </row>
    <row r="26" spans="1:51" ht="15" customHeight="1" thickBot="1" x14ac:dyDescent="0.3">
      <c r="A26" s="32"/>
      <c r="B26" s="32"/>
      <c r="C26" s="93"/>
      <c r="D26" s="32"/>
      <c r="E26" s="28"/>
      <c r="F26" s="94"/>
      <c r="G26" s="28"/>
      <c r="H26" s="28"/>
      <c r="I26" s="28"/>
      <c r="J26" s="28"/>
      <c r="K26" s="28"/>
      <c r="L26" s="28"/>
      <c r="M26" s="28"/>
      <c r="N26" s="28"/>
      <c r="O26" s="28"/>
      <c r="P26" s="28"/>
      <c r="Q26" s="222"/>
      <c r="S26" s="6"/>
      <c r="T26" s="6"/>
      <c r="U26" s="6"/>
      <c r="V26" s="6"/>
      <c r="W26" s="6"/>
      <c r="X26" s="6"/>
      <c r="Y26" s="6"/>
      <c r="Z26" s="14"/>
      <c r="AA26" s="10"/>
      <c r="AB26" s="6"/>
      <c r="AC26" s="6"/>
      <c r="AD26" s="6"/>
      <c r="AE26" s="6"/>
      <c r="AF26" s="6"/>
      <c r="AG26" s="6"/>
      <c r="AH26" s="6"/>
      <c r="AI26" s="6"/>
      <c r="AJ26" s="14"/>
      <c r="AK26" s="10"/>
      <c r="AL26" s="6"/>
      <c r="AM26" s="6"/>
      <c r="AN26" s="6"/>
      <c r="AO26" s="6"/>
      <c r="AP26" s="6"/>
      <c r="AQ26" s="6"/>
      <c r="AR26" s="6"/>
      <c r="AS26" s="6"/>
      <c r="AT26" s="14"/>
      <c r="AU26" s="47"/>
      <c r="AV26" s="50"/>
      <c r="AX26" s="147"/>
      <c r="AY26" s="43"/>
    </row>
    <row r="27" spans="1:51" ht="15" customHeight="1" thickBot="1" x14ac:dyDescent="0.3">
      <c r="A27" s="59" t="s">
        <v>166</v>
      </c>
      <c r="B27" s="59"/>
      <c r="C27" s="95"/>
      <c r="D27" s="135" t="s">
        <v>134</v>
      </c>
      <c r="E27" s="28"/>
      <c r="F27" s="94"/>
      <c r="G27" s="28"/>
      <c r="H27" s="28"/>
      <c r="I27" s="133">
        <f>IF(D27="Ja", 0, 175)</f>
        <v>175</v>
      </c>
      <c r="J27" s="29"/>
      <c r="K27" s="28"/>
      <c r="L27" s="28"/>
      <c r="M27" s="28"/>
      <c r="N27" s="28"/>
      <c r="O27" s="28"/>
      <c r="P27" s="28"/>
      <c r="Q27" s="28"/>
      <c r="S27" s="6"/>
      <c r="T27" s="6"/>
      <c r="U27" s="6"/>
      <c r="V27" s="6"/>
      <c r="W27" s="6"/>
      <c r="X27" s="6"/>
      <c r="Y27" s="6"/>
      <c r="Z27" s="14"/>
      <c r="AA27" s="10"/>
      <c r="AB27" s="6"/>
      <c r="AC27" s="6"/>
      <c r="AD27" s="6"/>
      <c r="AE27" s="6"/>
      <c r="AF27" s="6"/>
      <c r="AG27" s="6"/>
      <c r="AH27" s="6"/>
      <c r="AI27" s="6"/>
      <c r="AJ27" s="14"/>
      <c r="AK27" s="10"/>
      <c r="AL27" s="6"/>
      <c r="AM27" s="6"/>
      <c r="AN27" s="6"/>
      <c r="AO27" s="6"/>
      <c r="AP27" s="6"/>
      <c r="AQ27" s="6"/>
      <c r="AR27" s="6"/>
      <c r="AS27" s="6"/>
      <c r="AT27" s="14"/>
      <c r="AU27" s="47">
        <v>0</v>
      </c>
      <c r="AV27" s="50">
        <v>0</v>
      </c>
      <c r="AW27" s="46">
        <v>1</v>
      </c>
      <c r="AX27" s="147">
        <f>(AU27-AV27)/AW27</f>
        <v>0</v>
      </c>
      <c r="AY27" s="43"/>
    </row>
    <row r="28" spans="1:51" ht="15" customHeight="1" thickBot="1" x14ac:dyDescent="0.3">
      <c r="A28" s="28"/>
      <c r="B28" s="28"/>
      <c r="C28" s="96"/>
      <c r="D28" s="136"/>
      <c r="E28" s="28"/>
      <c r="F28" s="94"/>
      <c r="G28" s="28"/>
      <c r="H28" s="28"/>
      <c r="I28" s="28"/>
      <c r="J28" s="28"/>
      <c r="K28" s="28"/>
      <c r="L28" s="28"/>
      <c r="M28" s="28"/>
      <c r="N28" s="28"/>
      <c r="O28" s="28"/>
      <c r="P28" s="28"/>
      <c r="Q28" s="28"/>
      <c r="S28" s="6"/>
      <c r="T28" s="6"/>
      <c r="U28" s="6"/>
      <c r="V28" s="6"/>
      <c r="W28" s="6"/>
      <c r="X28" s="6"/>
      <c r="Y28" s="6"/>
      <c r="Z28" s="14"/>
      <c r="AA28" s="10"/>
      <c r="AB28" s="6"/>
      <c r="AC28" s="6"/>
      <c r="AD28" s="6"/>
      <c r="AE28" s="6"/>
      <c r="AF28" s="6"/>
      <c r="AG28" s="6"/>
      <c r="AH28" s="6"/>
      <c r="AI28" s="6"/>
      <c r="AJ28" s="14"/>
      <c r="AK28" s="10"/>
      <c r="AL28" s="6"/>
      <c r="AM28" s="6"/>
      <c r="AN28" s="6"/>
      <c r="AO28" s="6"/>
      <c r="AP28" s="6"/>
      <c r="AQ28" s="6"/>
      <c r="AR28" s="6"/>
      <c r="AS28" s="6"/>
      <c r="AT28" s="14"/>
      <c r="AU28" s="47"/>
      <c r="AV28" s="50"/>
      <c r="AX28" s="147"/>
      <c r="AY28" s="43"/>
    </row>
    <row r="29" spans="1:51" ht="15" customHeight="1" thickBot="1" x14ac:dyDescent="0.3">
      <c r="A29" s="28" t="s">
        <v>255</v>
      </c>
      <c r="B29" s="28"/>
      <c r="C29" s="96"/>
      <c r="D29" s="135" t="s">
        <v>134</v>
      </c>
      <c r="E29" s="206" t="b">
        <f>IF(D29="ja",IF(D6="A",1245,IF(D6="B",1097,IF(D6="C",1097,IF(D6="D",772,0)))))</f>
        <v>0</v>
      </c>
      <c r="F29" s="97"/>
      <c r="G29" s="34"/>
      <c r="H29" s="34"/>
      <c r="I29" s="28"/>
      <c r="J29" s="28"/>
      <c r="K29" s="105">
        <f>(E29+E30)*$K$10</f>
        <v>0</v>
      </c>
      <c r="L29" s="28"/>
      <c r="M29" s="105">
        <f>M22-K29</f>
        <v>9795.8140000000003</v>
      </c>
      <c r="N29" s="30" t="s">
        <v>44</v>
      </c>
      <c r="O29" s="28"/>
      <c r="P29" s="28"/>
      <c r="Q29" s="28"/>
      <c r="S29" s="6"/>
      <c r="T29" s="6"/>
      <c r="U29" s="6"/>
      <c r="V29" s="6"/>
      <c r="W29" s="6"/>
      <c r="X29" s="6"/>
      <c r="Y29" s="6"/>
      <c r="Z29" s="14"/>
      <c r="AA29" s="10"/>
      <c r="AB29" s="6"/>
      <c r="AC29" s="6"/>
      <c r="AD29" s="6"/>
      <c r="AE29" s="6"/>
      <c r="AF29" s="6"/>
      <c r="AG29" s="6"/>
      <c r="AH29" s="6"/>
      <c r="AI29" s="6"/>
      <c r="AJ29" s="14"/>
      <c r="AK29" s="10"/>
      <c r="AL29" s="6"/>
      <c r="AM29" s="6"/>
      <c r="AN29" s="6"/>
      <c r="AO29" s="6"/>
      <c r="AP29" s="6"/>
      <c r="AQ29" s="6"/>
      <c r="AR29" s="6"/>
      <c r="AS29" s="6"/>
      <c r="AT29" s="14"/>
      <c r="AU29" s="47">
        <v>0</v>
      </c>
      <c r="AV29" s="50">
        <v>0</v>
      </c>
      <c r="AW29" s="46">
        <v>1</v>
      </c>
      <c r="AX29" s="147">
        <f>(AU29-AV29)/AW29</f>
        <v>0</v>
      </c>
      <c r="AY29" s="43"/>
    </row>
    <row r="30" spans="1:51" ht="15" customHeight="1" thickBot="1" x14ac:dyDescent="0.3">
      <c r="A30" s="28" t="s">
        <v>256</v>
      </c>
      <c r="B30" s="28"/>
      <c r="C30" s="96"/>
      <c r="D30" s="135" t="s">
        <v>134</v>
      </c>
      <c r="E30" s="206" t="b">
        <f>IF(D30="ja",IF(D6="A",1928-1245,IF(D6="B",1655-1097,IF(D6="C",1655-1097,IF(D6="D",1173-771,0)))))</f>
        <v>0</v>
      </c>
      <c r="F30" s="97"/>
      <c r="G30" s="34"/>
      <c r="H30" s="34"/>
      <c r="I30" s="28"/>
      <c r="J30" s="28"/>
      <c r="K30" s="205"/>
      <c r="L30" s="28"/>
      <c r="M30" s="205"/>
      <c r="N30" s="30"/>
      <c r="O30" s="28"/>
      <c r="P30" s="28"/>
      <c r="Q30" s="28"/>
      <c r="S30" s="6"/>
      <c r="T30" s="6"/>
      <c r="U30" s="6"/>
      <c r="V30" s="6"/>
      <c r="W30" s="6"/>
      <c r="X30" s="6"/>
      <c r="Y30" s="6"/>
      <c r="Z30" s="14"/>
      <c r="AA30" s="10"/>
      <c r="AB30" s="6"/>
      <c r="AC30" s="6"/>
      <c r="AD30" s="6"/>
      <c r="AE30" s="6"/>
      <c r="AF30" s="6"/>
      <c r="AG30" s="6"/>
      <c r="AH30" s="6"/>
      <c r="AI30" s="6"/>
      <c r="AJ30" s="14"/>
      <c r="AK30" s="10"/>
      <c r="AL30" s="6"/>
      <c r="AM30" s="6"/>
      <c r="AN30" s="6"/>
      <c r="AO30" s="6"/>
      <c r="AP30" s="6"/>
      <c r="AQ30" s="6"/>
      <c r="AR30" s="6"/>
      <c r="AS30" s="6"/>
      <c r="AT30" s="14"/>
      <c r="AU30" s="47"/>
      <c r="AV30" s="50"/>
      <c r="AX30" s="147"/>
      <c r="AY30" s="43"/>
    </row>
    <row r="31" spans="1:51" ht="15" customHeight="1" x14ac:dyDescent="0.25">
      <c r="A31" s="28"/>
      <c r="B31" s="28"/>
      <c r="C31" s="96"/>
      <c r="D31" s="28"/>
      <c r="E31" s="28"/>
      <c r="F31" s="94"/>
      <c r="G31" s="28"/>
      <c r="H31" s="28"/>
      <c r="I31" s="28"/>
      <c r="J31" s="28"/>
      <c r="K31" s="28"/>
      <c r="L31" s="28"/>
      <c r="M31" s="28"/>
      <c r="N31" s="28"/>
      <c r="O31" s="28"/>
      <c r="P31" s="28"/>
      <c r="Q31" s="28"/>
      <c r="S31" s="6"/>
      <c r="T31" s="6"/>
      <c r="U31" s="6"/>
      <c r="V31" s="6"/>
      <c r="W31" s="6"/>
      <c r="X31" s="6"/>
      <c r="Y31" s="6"/>
      <c r="Z31" s="14"/>
      <c r="AA31" s="10"/>
      <c r="AB31" s="6"/>
      <c r="AC31" s="6"/>
      <c r="AD31" s="6"/>
      <c r="AE31" s="6"/>
      <c r="AF31" s="6"/>
      <c r="AG31" s="6"/>
      <c r="AH31" s="6"/>
      <c r="AI31" s="6"/>
      <c r="AJ31" s="14"/>
      <c r="AK31" s="10"/>
      <c r="AL31" s="6"/>
      <c r="AM31" s="6"/>
      <c r="AN31" s="6"/>
      <c r="AO31" s="6"/>
      <c r="AP31" s="6"/>
      <c r="AQ31" s="6"/>
      <c r="AR31" s="6"/>
      <c r="AS31" s="6"/>
      <c r="AT31" s="14"/>
      <c r="AU31" s="47"/>
      <c r="AV31" s="50"/>
      <c r="AX31" s="147"/>
      <c r="AY31" s="43"/>
    </row>
    <row r="32" spans="1:51" ht="7.5" customHeight="1" x14ac:dyDescent="0.25">
      <c r="C32" s="91"/>
      <c r="F32" s="92"/>
      <c r="S32" s="6"/>
      <c r="T32" s="6"/>
      <c r="U32" s="6"/>
      <c r="V32" s="6"/>
      <c r="W32" s="6"/>
      <c r="X32" s="6"/>
      <c r="Y32" s="6"/>
      <c r="Z32" s="14"/>
      <c r="AA32" s="10"/>
      <c r="AB32" s="6"/>
      <c r="AC32" s="6"/>
      <c r="AD32" s="6"/>
      <c r="AE32" s="6"/>
      <c r="AF32" s="6"/>
      <c r="AG32" s="6"/>
      <c r="AH32" s="6"/>
      <c r="AI32" s="6"/>
      <c r="AJ32" s="14"/>
      <c r="AK32" s="10"/>
      <c r="AL32" s="6"/>
      <c r="AM32" s="6"/>
      <c r="AN32" s="6"/>
      <c r="AO32" s="6"/>
      <c r="AP32" s="6"/>
      <c r="AQ32" s="6"/>
      <c r="AR32" s="6"/>
      <c r="AS32" s="6"/>
      <c r="AT32" s="14"/>
      <c r="AU32" s="47"/>
      <c r="AV32" s="50"/>
      <c r="AX32" s="147"/>
      <c r="AY32" s="43"/>
    </row>
    <row r="33" spans="1:55" ht="15" customHeight="1" thickBot="1" x14ac:dyDescent="0.3">
      <c r="A33" s="32" t="s">
        <v>49</v>
      </c>
      <c r="B33" s="32"/>
      <c r="C33" s="93"/>
      <c r="D33" s="32"/>
      <c r="E33" s="28"/>
      <c r="F33" s="94"/>
      <c r="G33" s="28"/>
      <c r="H33" s="28"/>
      <c r="I33" s="28"/>
      <c r="J33" s="28"/>
      <c r="K33" s="28"/>
      <c r="L33" s="28"/>
      <c r="M33" s="28"/>
      <c r="N33" s="28"/>
      <c r="O33" s="28"/>
      <c r="P33" s="28"/>
      <c r="Q33" s="28"/>
      <c r="S33" s="6"/>
      <c r="T33" s="6"/>
      <c r="U33" s="6"/>
      <c r="V33" s="6"/>
      <c r="W33" s="6"/>
      <c r="X33" s="6"/>
      <c r="Y33" s="6"/>
      <c r="Z33" s="14"/>
      <c r="AA33" s="10"/>
      <c r="AB33" s="6"/>
      <c r="AC33" s="6"/>
      <c r="AD33" s="6"/>
      <c r="AE33" s="6"/>
      <c r="AF33" s="6"/>
      <c r="AG33" s="6"/>
      <c r="AH33" s="6"/>
      <c r="AI33" s="6"/>
      <c r="AJ33" s="14"/>
      <c r="AK33" s="10"/>
      <c r="AL33" s="6"/>
      <c r="AM33" s="6"/>
      <c r="AN33" s="6"/>
      <c r="AO33" s="6"/>
      <c r="AP33" s="6"/>
      <c r="AQ33" s="6"/>
      <c r="AR33" s="6"/>
      <c r="AS33" s="6"/>
      <c r="AT33" s="14"/>
      <c r="AU33" s="47"/>
      <c r="AV33" s="50"/>
      <c r="AX33" s="147"/>
      <c r="AY33" s="43"/>
    </row>
    <row r="34" spans="1:55" ht="15" customHeight="1" thickBot="1" x14ac:dyDescent="0.3">
      <c r="A34" s="31" t="s">
        <v>50</v>
      </c>
      <c r="B34" s="31"/>
      <c r="C34" s="107"/>
      <c r="D34" s="123">
        <v>0</v>
      </c>
      <c r="E34" s="55"/>
      <c r="F34" s="108"/>
      <c r="G34" s="28"/>
      <c r="H34" s="28"/>
      <c r="I34" s="28"/>
      <c r="J34" s="28"/>
      <c r="K34" s="105">
        <f>D34*$K$10</f>
        <v>0</v>
      </c>
      <c r="L34" s="28"/>
      <c r="M34" s="105">
        <f>M29-K34</f>
        <v>9795.8140000000003</v>
      </c>
      <c r="N34" s="30" t="s">
        <v>44</v>
      </c>
      <c r="O34" s="28"/>
      <c r="P34" s="28"/>
      <c r="Q34" s="28"/>
      <c r="S34" s="6"/>
      <c r="T34" s="6"/>
      <c r="U34" s="6"/>
      <c r="V34" s="6"/>
      <c r="W34" s="6"/>
      <c r="X34" s="6"/>
      <c r="Y34" s="6"/>
      <c r="Z34" s="14"/>
      <c r="AA34" s="10"/>
      <c r="AB34" s="6"/>
      <c r="AC34" s="6"/>
      <c r="AD34" s="6"/>
      <c r="AE34" s="6"/>
      <c r="AF34" s="6"/>
      <c r="AG34" s="6"/>
      <c r="AH34" s="6"/>
      <c r="AI34" s="6"/>
      <c r="AJ34" s="14"/>
      <c r="AK34" s="10"/>
      <c r="AL34" s="6"/>
      <c r="AM34" s="6"/>
      <c r="AN34" s="6"/>
      <c r="AO34" s="6"/>
      <c r="AP34" s="6"/>
      <c r="AQ34" s="6"/>
      <c r="AR34" s="6"/>
      <c r="AS34" s="6"/>
      <c r="AT34" s="14"/>
      <c r="AU34" s="47">
        <v>0</v>
      </c>
      <c r="AV34" s="50">
        <v>0</v>
      </c>
      <c r="AW34" s="46">
        <v>1</v>
      </c>
      <c r="AX34" s="147">
        <f>(AU34-AV34)/AW34</f>
        <v>0</v>
      </c>
      <c r="AY34" s="43"/>
    </row>
    <row r="35" spans="1:55" ht="15" customHeight="1" thickBot="1" x14ac:dyDescent="0.3">
      <c r="A35" s="28"/>
      <c r="B35" s="28"/>
      <c r="C35" s="98"/>
      <c r="D35" s="55"/>
      <c r="E35" s="55"/>
      <c r="F35" s="108"/>
      <c r="G35" s="28"/>
      <c r="H35" s="28"/>
      <c r="I35" s="28"/>
      <c r="J35" s="28"/>
      <c r="K35" s="28"/>
      <c r="L35" s="28"/>
      <c r="M35" s="28"/>
      <c r="N35" s="28"/>
      <c r="O35" s="28"/>
      <c r="P35" s="28"/>
      <c r="Q35" s="28"/>
      <c r="S35" s="6"/>
      <c r="T35" s="6"/>
      <c r="U35" s="6"/>
      <c r="V35" s="6"/>
      <c r="W35" s="6"/>
      <c r="X35" s="6"/>
      <c r="Y35" s="6"/>
      <c r="Z35" s="14"/>
      <c r="AA35" s="10"/>
      <c r="AB35" s="6"/>
      <c r="AC35" s="6"/>
      <c r="AD35" s="6"/>
      <c r="AE35" s="6"/>
      <c r="AF35" s="6"/>
      <c r="AG35" s="6"/>
      <c r="AH35" s="6"/>
      <c r="AI35" s="6"/>
      <c r="AJ35" s="14"/>
      <c r="AK35" s="10"/>
      <c r="AL35" s="6"/>
      <c r="AM35" s="6"/>
      <c r="AN35" s="6"/>
      <c r="AO35" s="6"/>
      <c r="AP35" s="6"/>
      <c r="AQ35" s="6"/>
      <c r="AR35" s="6"/>
      <c r="AS35" s="6"/>
      <c r="AT35" s="14"/>
      <c r="AU35" s="47"/>
      <c r="AV35" s="50"/>
      <c r="AX35" s="147"/>
      <c r="AY35" s="43"/>
    </row>
    <row r="36" spans="1:55" ht="15" customHeight="1" thickBot="1" x14ac:dyDescent="0.3">
      <c r="A36" s="31" t="s">
        <v>262</v>
      </c>
      <c r="B36" s="31"/>
      <c r="C36" s="107"/>
      <c r="D36" s="123">
        <v>0</v>
      </c>
      <c r="E36" s="55"/>
      <c r="F36" s="108"/>
      <c r="G36" s="28"/>
      <c r="H36" s="28"/>
      <c r="I36" s="28"/>
      <c r="J36" s="28"/>
      <c r="K36" s="105">
        <f>D36*$K$10</f>
        <v>0</v>
      </c>
      <c r="L36" s="28"/>
      <c r="M36" s="105">
        <f>M34-K36</f>
        <v>9795.8140000000003</v>
      </c>
      <c r="N36" s="28"/>
      <c r="O36" s="28"/>
      <c r="P36" s="28"/>
      <c r="Q36" s="28"/>
      <c r="S36" s="6"/>
      <c r="T36" s="6"/>
      <c r="U36" s="6"/>
      <c r="V36" s="6"/>
      <c r="W36" s="6"/>
      <c r="X36" s="6"/>
      <c r="Y36" s="6"/>
      <c r="Z36" s="14"/>
      <c r="AA36" s="10"/>
      <c r="AB36" s="6"/>
      <c r="AC36" s="6"/>
      <c r="AD36" s="6"/>
      <c r="AE36" s="6"/>
      <c r="AF36" s="6"/>
      <c r="AG36" s="6"/>
      <c r="AH36" s="6"/>
      <c r="AI36" s="6"/>
      <c r="AJ36" s="14"/>
      <c r="AK36" s="10"/>
      <c r="AL36" s="6"/>
      <c r="AM36" s="6"/>
      <c r="AN36" s="6"/>
      <c r="AO36" s="6"/>
      <c r="AP36" s="6"/>
      <c r="AQ36" s="6"/>
      <c r="AR36" s="6"/>
      <c r="AS36" s="6"/>
      <c r="AT36" s="14"/>
      <c r="AU36" s="47">
        <v>0</v>
      </c>
      <c r="AV36" s="50">
        <v>0</v>
      </c>
      <c r="AW36" s="46">
        <v>1</v>
      </c>
      <c r="AX36" s="147">
        <f>(AU36-AV36)/AW36</f>
        <v>0</v>
      </c>
      <c r="AY36" s="43"/>
    </row>
    <row r="37" spans="1:55" ht="15" customHeight="1" thickBot="1" x14ac:dyDescent="0.3">
      <c r="A37" s="31"/>
      <c r="B37" s="31"/>
      <c r="C37" s="107"/>
      <c r="D37" s="55"/>
      <c r="E37" s="55"/>
      <c r="F37" s="108"/>
      <c r="G37" s="28"/>
      <c r="H37" s="28"/>
      <c r="I37" s="28"/>
      <c r="J37" s="28"/>
      <c r="K37" s="28"/>
      <c r="L37" s="28"/>
      <c r="M37" s="28"/>
      <c r="N37" s="28"/>
      <c r="O37" s="28"/>
      <c r="P37" s="28"/>
      <c r="Q37" s="28"/>
      <c r="S37" s="6"/>
      <c r="T37" s="6"/>
      <c r="U37" s="6"/>
      <c r="V37" s="6"/>
      <c r="W37" s="6"/>
      <c r="X37" s="6"/>
      <c r="Y37" s="6"/>
      <c r="Z37" s="14"/>
      <c r="AA37" s="10"/>
      <c r="AB37" s="6"/>
      <c r="AC37" s="6"/>
      <c r="AD37" s="6"/>
      <c r="AE37" s="6"/>
      <c r="AF37" s="6"/>
      <c r="AG37" s="6"/>
      <c r="AH37" s="6"/>
      <c r="AI37" s="6"/>
      <c r="AJ37" s="14"/>
      <c r="AK37" s="10"/>
      <c r="AL37" s="6"/>
      <c r="AM37" s="6"/>
      <c r="AN37" s="6"/>
      <c r="AO37" s="6"/>
      <c r="AP37" s="6"/>
      <c r="AQ37" s="6"/>
      <c r="AR37" s="6"/>
      <c r="AS37" s="6"/>
      <c r="AT37" s="14"/>
      <c r="AU37" s="47"/>
      <c r="AV37" s="50"/>
      <c r="AX37" s="147"/>
      <c r="AY37" s="43"/>
    </row>
    <row r="38" spans="1:55" ht="15" customHeight="1" thickBot="1" x14ac:dyDescent="0.3">
      <c r="A38" s="31" t="s">
        <v>98</v>
      </c>
      <c r="B38" s="31"/>
      <c r="C38" s="107"/>
      <c r="D38" s="123">
        <v>0</v>
      </c>
      <c r="E38" s="55"/>
      <c r="F38" s="108"/>
      <c r="G38" s="28"/>
      <c r="H38" s="28"/>
      <c r="I38" s="28"/>
      <c r="J38" s="28"/>
      <c r="K38" s="105">
        <f>D38*$K$10</f>
        <v>0</v>
      </c>
      <c r="L38" s="28"/>
      <c r="M38" s="105">
        <f>M36-K38</f>
        <v>9795.8140000000003</v>
      </c>
      <c r="N38" s="30" t="s">
        <v>44</v>
      </c>
      <c r="O38" s="28"/>
      <c r="P38" s="28"/>
      <c r="Q38" s="28"/>
      <c r="S38" s="6"/>
      <c r="T38" s="6"/>
      <c r="U38" s="6"/>
      <c r="V38" s="6"/>
      <c r="W38" s="6"/>
      <c r="X38" s="6"/>
      <c r="Y38" s="6"/>
      <c r="Z38" s="14"/>
      <c r="AA38" s="10"/>
      <c r="AB38" s="6"/>
      <c r="AC38" s="6"/>
      <c r="AD38" s="6"/>
      <c r="AE38" s="6"/>
      <c r="AF38" s="6"/>
      <c r="AG38" s="6"/>
      <c r="AH38" s="6"/>
      <c r="AI38" s="6"/>
      <c r="AJ38" s="14"/>
      <c r="AK38" s="10"/>
      <c r="AL38" s="6"/>
      <c r="AM38" s="6"/>
      <c r="AN38" s="6"/>
      <c r="AO38" s="6"/>
      <c r="AP38" s="6"/>
      <c r="AQ38" s="6"/>
      <c r="AR38" s="6"/>
      <c r="AS38" s="6"/>
      <c r="AT38" s="14"/>
      <c r="AU38" s="47">
        <v>0</v>
      </c>
      <c r="AV38" s="50">
        <v>0</v>
      </c>
      <c r="AW38" s="46">
        <v>1</v>
      </c>
      <c r="AX38" s="147">
        <f>(AU38-AV38)/AW38</f>
        <v>0</v>
      </c>
      <c r="AY38" s="43"/>
    </row>
    <row r="39" spans="1:55" ht="15" customHeight="1" thickBot="1" x14ac:dyDescent="0.3">
      <c r="A39" s="28"/>
      <c r="B39" s="28"/>
      <c r="C39" s="98"/>
      <c r="D39" s="55"/>
      <c r="E39" s="55"/>
      <c r="F39" s="108"/>
      <c r="G39" s="28"/>
      <c r="H39" s="28"/>
      <c r="I39" s="28"/>
      <c r="J39" s="28"/>
      <c r="K39" s="28"/>
      <c r="L39" s="28"/>
      <c r="M39" s="28"/>
      <c r="N39" s="28"/>
      <c r="O39" s="28"/>
      <c r="P39" s="28"/>
      <c r="Q39" s="28"/>
      <c r="S39" s="6"/>
      <c r="T39" s="6"/>
      <c r="U39" s="6"/>
      <c r="V39" s="6"/>
      <c r="W39" s="6"/>
      <c r="X39" s="6"/>
      <c r="Y39" s="6"/>
      <c r="Z39" s="14"/>
      <c r="AA39" s="10"/>
      <c r="AB39" s="6"/>
      <c r="AC39" s="6"/>
      <c r="AD39" s="6"/>
      <c r="AE39" s="6"/>
      <c r="AF39" s="6"/>
      <c r="AG39" s="6"/>
      <c r="AH39" s="6"/>
      <c r="AI39" s="6"/>
      <c r="AJ39" s="14"/>
      <c r="AK39" s="10"/>
      <c r="AL39" s="6"/>
      <c r="AM39" s="6"/>
      <c r="AN39" s="6"/>
      <c r="AO39" s="6"/>
      <c r="AP39" s="6"/>
      <c r="AQ39" s="6"/>
      <c r="AR39" s="6"/>
      <c r="AS39" s="6"/>
      <c r="AT39" s="14"/>
      <c r="AU39" s="47"/>
      <c r="AV39" s="50"/>
      <c r="AX39" s="147"/>
      <c r="AY39" s="43"/>
    </row>
    <row r="40" spans="1:55" ht="15" customHeight="1" thickBot="1" x14ac:dyDescent="0.3">
      <c r="A40" s="31" t="s">
        <v>51</v>
      </c>
      <c r="B40" s="31"/>
      <c r="C40" s="107"/>
      <c r="D40" s="123">
        <v>0</v>
      </c>
      <c r="E40" s="55"/>
      <c r="F40" s="108"/>
      <c r="G40" s="28"/>
      <c r="H40" s="28"/>
      <c r="I40" s="28"/>
      <c r="J40" s="28"/>
      <c r="K40" s="105">
        <f>D40*$K$10</f>
        <v>0</v>
      </c>
      <c r="L40" s="28"/>
      <c r="M40" s="105">
        <f>M38-K40</f>
        <v>9795.8140000000003</v>
      </c>
      <c r="N40" s="30" t="s">
        <v>44</v>
      </c>
      <c r="O40" s="28"/>
      <c r="P40" s="28"/>
      <c r="Q40" s="28"/>
      <c r="S40" s="6"/>
      <c r="T40" s="6"/>
      <c r="U40" s="6"/>
      <c r="V40" s="6"/>
      <c r="W40" s="6"/>
      <c r="X40" s="6"/>
      <c r="Y40" s="6"/>
      <c r="Z40" s="14"/>
      <c r="AA40" s="10"/>
      <c r="AB40" s="6"/>
      <c r="AC40" s="6"/>
      <c r="AD40" s="6"/>
      <c r="AE40" s="6"/>
      <c r="AF40" s="6"/>
      <c r="AG40" s="6"/>
      <c r="AH40" s="6"/>
      <c r="AI40" s="6"/>
      <c r="AJ40" s="14"/>
      <c r="AK40" s="10"/>
      <c r="AL40" s="6"/>
      <c r="AM40" s="6"/>
      <c r="AN40" s="6"/>
      <c r="AO40" s="6"/>
      <c r="AP40" s="6"/>
      <c r="AQ40" s="6"/>
      <c r="AR40" s="6"/>
      <c r="AS40" s="6"/>
      <c r="AT40" s="14"/>
      <c r="AU40" s="47">
        <v>0</v>
      </c>
      <c r="AV40" s="50">
        <v>0</v>
      </c>
      <c r="AW40" s="46">
        <v>1</v>
      </c>
      <c r="AX40" s="147">
        <f>(AU40-AV40)/AW40</f>
        <v>0</v>
      </c>
      <c r="AY40" s="43"/>
    </row>
    <row r="41" spans="1:55" ht="15" customHeight="1" x14ac:dyDescent="0.25">
      <c r="A41" s="28"/>
      <c r="B41" s="28"/>
      <c r="C41" s="98"/>
      <c r="D41" s="55"/>
      <c r="E41" s="55"/>
      <c r="F41" s="108"/>
      <c r="G41" s="28"/>
      <c r="H41" s="28"/>
      <c r="I41" s="28"/>
      <c r="J41" s="28"/>
      <c r="K41" s="28"/>
      <c r="L41" s="28"/>
      <c r="M41" s="28"/>
      <c r="N41" s="28"/>
      <c r="O41" s="28"/>
      <c r="P41" s="28"/>
      <c r="Q41" s="28"/>
      <c r="S41" s="6"/>
      <c r="T41" s="6"/>
      <c r="U41" s="6"/>
      <c r="V41" s="6"/>
      <c r="W41" s="6"/>
      <c r="X41" s="6"/>
      <c r="Y41" s="6"/>
      <c r="Z41" s="14"/>
      <c r="AA41" s="10"/>
      <c r="AB41" s="6"/>
      <c r="AC41" s="6"/>
      <c r="AD41" s="6"/>
      <c r="AE41" s="6"/>
      <c r="AF41" s="6"/>
      <c r="AG41" s="6"/>
      <c r="AH41" s="6"/>
      <c r="AI41" s="6"/>
      <c r="AJ41" s="14"/>
      <c r="AK41" s="10"/>
      <c r="AL41" s="6"/>
      <c r="AM41" s="6"/>
      <c r="AN41" s="6"/>
      <c r="AO41" s="6"/>
      <c r="AP41" s="6"/>
      <c r="AQ41" s="6"/>
      <c r="AR41" s="6"/>
      <c r="AS41" s="6"/>
      <c r="AT41" s="14"/>
      <c r="AU41" s="47"/>
      <c r="AV41" s="50"/>
      <c r="AX41" s="147"/>
      <c r="AY41" s="43"/>
    </row>
    <row r="42" spans="1:55" ht="15" customHeight="1" thickBot="1" x14ac:dyDescent="0.3">
      <c r="A42" s="28" t="s">
        <v>52</v>
      </c>
      <c r="B42" s="28"/>
      <c r="C42" s="98"/>
      <c r="D42" s="55"/>
      <c r="E42" s="55"/>
      <c r="F42" s="108"/>
      <c r="G42" s="28"/>
      <c r="H42" s="28"/>
      <c r="I42" s="28"/>
      <c r="J42" s="28"/>
      <c r="K42" s="28"/>
      <c r="L42" s="28"/>
      <c r="M42" s="28"/>
      <c r="N42" s="28"/>
      <c r="O42" s="28"/>
      <c r="P42" s="28"/>
      <c r="Q42" s="28"/>
      <c r="S42" s="6"/>
      <c r="T42" s="6"/>
      <c r="U42" s="6"/>
      <c r="V42" s="6"/>
      <c r="W42" s="6"/>
      <c r="X42" s="6"/>
      <c r="Y42" s="6"/>
      <c r="Z42" s="14"/>
      <c r="AA42" s="10"/>
      <c r="AB42" s="6"/>
      <c r="AC42" s="6"/>
      <c r="AD42" s="6"/>
      <c r="AE42" s="6"/>
      <c r="AF42" s="6"/>
      <c r="AG42" s="6"/>
      <c r="AH42" s="6"/>
      <c r="AI42" s="6"/>
      <c r="AJ42" s="14"/>
      <c r="AK42" s="10"/>
      <c r="AL42" s="6"/>
      <c r="AM42" s="6"/>
      <c r="AN42" s="6"/>
      <c r="AO42" s="6"/>
      <c r="AP42" s="6"/>
      <c r="AQ42" s="6"/>
      <c r="AR42" s="6"/>
      <c r="AS42" s="6"/>
      <c r="AT42" s="14"/>
      <c r="AU42" s="47"/>
      <c r="AV42" s="50"/>
      <c r="AX42" s="147"/>
      <c r="AY42" s="43"/>
    </row>
    <row r="43" spans="1:55" ht="15" customHeight="1" thickBot="1" x14ac:dyDescent="0.3">
      <c r="A43" s="31" t="s">
        <v>53</v>
      </c>
      <c r="B43" s="31"/>
      <c r="C43" s="107"/>
      <c r="D43" s="123">
        <v>0</v>
      </c>
      <c r="E43" s="55"/>
      <c r="F43" s="108"/>
      <c r="G43" s="28"/>
      <c r="H43" s="28"/>
      <c r="I43" s="28"/>
      <c r="J43" s="28"/>
      <c r="K43" s="58">
        <f>D43*$K$10</f>
        <v>0</v>
      </c>
      <c r="L43" s="28"/>
      <c r="M43" s="105">
        <f>M40-K43</f>
        <v>9795.8140000000003</v>
      </c>
      <c r="N43" s="30" t="s">
        <v>44</v>
      </c>
      <c r="O43" s="28"/>
      <c r="P43" s="28"/>
      <c r="Q43" s="28"/>
      <c r="S43" s="6"/>
      <c r="T43" s="6"/>
      <c r="U43" s="6"/>
      <c r="V43" s="6"/>
      <c r="W43" s="6"/>
      <c r="X43" s="6"/>
      <c r="Y43" s="6"/>
      <c r="Z43" s="14"/>
      <c r="AA43" s="10"/>
      <c r="AB43" s="6"/>
      <c r="AC43" s="6"/>
      <c r="AD43" s="6"/>
      <c r="AE43" s="6"/>
      <c r="AF43" s="6"/>
      <c r="AG43" s="6"/>
      <c r="AH43" s="6"/>
      <c r="AI43" s="6"/>
      <c r="AJ43" s="14"/>
      <c r="AK43" s="10"/>
      <c r="AL43" s="6"/>
      <c r="AM43" s="6"/>
      <c r="AN43" s="6"/>
      <c r="AO43" s="6"/>
      <c r="AP43" s="6"/>
      <c r="AQ43" s="6"/>
      <c r="AR43" s="6"/>
      <c r="AS43" s="6"/>
      <c r="AT43" s="14"/>
      <c r="AU43" s="47">
        <v>0</v>
      </c>
      <c r="AV43" s="50">
        <v>0</v>
      </c>
      <c r="AW43" s="46">
        <v>1</v>
      </c>
      <c r="AX43" s="147">
        <f>(AU43-AV43)/AW43</f>
        <v>0</v>
      </c>
      <c r="AY43" s="43"/>
    </row>
    <row r="44" spans="1:55" ht="15" customHeight="1" x14ac:dyDescent="0.25">
      <c r="A44" s="28"/>
      <c r="B44" s="28"/>
      <c r="C44" s="98"/>
      <c r="D44" s="55"/>
      <c r="E44" s="55"/>
      <c r="F44" s="108"/>
      <c r="G44" s="28"/>
      <c r="H44" s="28"/>
      <c r="I44" s="28"/>
      <c r="J44" s="28"/>
      <c r="K44" s="28"/>
      <c r="L44" s="28"/>
      <c r="M44" s="28"/>
      <c r="N44" s="28"/>
      <c r="O44" s="28"/>
      <c r="P44" s="28"/>
      <c r="Q44" s="28"/>
      <c r="S44" s="6"/>
      <c r="T44" s="6"/>
      <c r="U44" s="6"/>
      <c r="V44" s="6"/>
      <c r="W44" s="6"/>
      <c r="X44" s="6"/>
      <c r="Y44" s="6"/>
      <c r="Z44" s="14"/>
      <c r="AA44" s="10"/>
      <c r="AB44" s="6"/>
      <c r="AC44" s="6"/>
      <c r="AD44" s="6"/>
      <c r="AE44" s="6"/>
      <c r="AF44" s="6"/>
      <c r="AG44" s="6"/>
      <c r="AH44" s="6"/>
      <c r="AI44" s="6"/>
      <c r="AJ44" s="14"/>
      <c r="AK44" s="10"/>
      <c r="AL44" s="6"/>
      <c r="AM44" s="6"/>
      <c r="AN44" s="6"/>
      <c r="AO44" s="6"/>
      <c r="AP44" s="6"/>
      <c r="AQ44" s="6"/>
      <c r="AR44" s="6"/>
      <c r="AS44" s="6"/>
      <c r="AT44" s="14"/>
      <c r="AU44" s="47"/>
      <c r="AV44" s="50"/>
      <c r="AX44" s="147"/>
      <c r="AY44" s="43"/>
    </row>
    <row r="45" spans="1:55" ht="15" customHeight="1" x14ac:dyDescent="0.25">
      <c r="A45" s="28"/>
      <c r="B45" s="28"/>
      <c r="C45" s="98"/>
      <c r="D45" s="55"/>
      <c r="E45" s="55"/>
      <c r="F45" s="108"/>
      <c r="G45" s="28"/>
      <c r="H45" s="28"/>
      <c r="I45" s="28"/>
      <c r="J45" s="28"/>
      <c r="K45" s="28"/>
      <c r="L45" s="28"/>
      <c r="M45" s="28"/>
      <c r="N45" s="28"/>
      <c r="O45" s="28"/>
      <c r="P45" s="28"/>
      <c r="Q45" s="28"/>
      <c r="S45" s="6"/>
      <c r="T45" s="6"/>
      <c r="U45" s="6"/>
      <c r="V45" s="6"/>
      <c r="W45" s="6"/>
      <c r="X45" s="6"/>
      <c r="Y45" s="6"/>
      <c r="Z45" s="14"/>
      <c r="AA45" s="10"/>
      <c r="AB45" s="6"/>
      <c r="AC45" s="6"/>
      <c r="AD45" s="6"/>
      <c r="AE45" s="6"/>
      <c r="AF45" s="6"/>
      <c r="AG45" s="6"/>
      <c r="AH45" s="6"/>
      <c r="AI45" s="6"/>
      <c r="AJ45" s="14"/>
      <c r="AK45" s="10"/>
      <c r="AL45" s="6"/>
      <c r="AM45" s="6"/>
      <c r="AN45" s="6"/>
      <c r="AO45" s="6"/>
      <c r="AP45" s="6"/>
      <c r="AQ45" s="6"/>
      <c r="AR45" s="6"/>
      <c r="AS45" s="6"/>
      <c r="AT45" s="14"/>
      <c r="AU45" s="47"/>
      <c r="AV45" s="50"/>
      <c r="AX45" s="147"/>
      <c r="AY45" s="43"/>
    </row>
    <row r="46" spans="1:55" ht="9" customHeight="1" x14ac:dyDescent="0.25">
      <c r="C46" s="109"/>
      <c r="D46" s="57"/>
      <c r="E46" s="57"/>
      <c r="F46" s="110"/>
      <c r="S46" s="6"/>
      <c r="T46" s="6"/>
      <c r="U46" s="6"/>
      <c r="V46" s="6"/>
      <c r="W46" s="6"/>
      <c r="X46" s="6"/>
      <c r="Y46" s="6"/>
      <c r="Z46" s="14"/>
      <c r="AA46" s="10"/>
      <c r="AB46" s="6"/>
      <c r="AC46" s="6"/>
      <c r="AD46" s="6"/>
      <c r="AE46" s="6"/>
      <c r="AF46" s="6"/>
      <c r="AG46" s="6"/>
      <c r="AH46" s="6"/>
      <c r="AI46" s="6"/>
      <c r="AJ46" s="14"/>
      <c r="AK46" s="10"/>
      <c r="AL46" s="6"/>
      <c r="AM46" s="6"/>
      <c r="AN46" s="6"/>
      <c r="AO46" s="6"/>
      <c r="AP46" s="6"/>
      <c r="AQ46" s="6"/>
      <c r="AR46" s="6"/>
      <c r="AS46" s="6"/>
      <c r="AT46" s="14"/>
      <c r="AU46" s="47"/>
      <c r="AV46" s="50"/>
      <c r="AX46" s="147"/>
      <c r="AY46" s="43"/>
    </row>
    <row r="47" spans="1:55" ht="15" customHeight="1" x14ac:dyDescent="0.25">
      <c r="A47" s="55" t="s">
        <v>54</v>
      </c>
      <c r="B47" s="55"/>
      <c r="C47" s="98"/>
      <c r="D47" s="55"/>
      <c r="E47" s="55"/>
      <c r="F47" s="108"/>
      <c r="G47" s="28"/>
      <c r="H47" s="28"/>
      <c r="I47" s="28"/>
      <c r="J47" s="28"/>
      <c r="K47" s="28"/>
      <c r="L47" s="28"/>
      <c r="M47" s="28"/>
      <c r="N47" s="28"/>
      <c r="O47" s="28"/>
      <c r="P47" s="28"/>
      <c r="Q47" s="28"/>
      <c r="S47" s="6"/>
      <c r="T47" s="6"/>
      <c r="U47" s="6"/>
      <c r="V47" s="6"/>
      <c r="W47" s="6"/>
      <c r="X47" s="6"/>
      <c r="Y47" s="6"/>
      <c r="Z47" s="14"/>
      <c r="AA47" s="10"/>
      <c r="AB47" s="6"/>
      <c r="AC47" s="6"/>
      <c r="AD47" s="6"/>
      <c r="AE47" s="6"/>
      <c r="AF47" s="6"/>
      <c r="AG47" s="6"/>
      <c r="AH47" s="6"/>
      <c r="AI47" s="6"/>
      <c r="AJ47" s="14"/>
      <c r="AK47" s="10"/>
      <c r="AL47" s="6"/>
      <c r="AM47" s="6"/>
      <c r="AN47" s="6"/>
      <c r="AO47" s="6"/>
      <c r="AP47" s="6"/>
      <c r="AQ47" s="6"/>
      <c r="AR47" s="6"/>
      <c r="AS47" s="6"/>
      <c r="AT47" s="14"/>
      <c r="AU47" s="47"/>
      <c r="AV47" s="50"/>
      <c r="AX47" s="147"/>
      <c r="AY47" s="43"/>
    </row>
    <row r="48" spans="1:55" ht="15" customHeight="1" thickBot="1" x14ac:dyDescent="0.3">
      <c r="A48" s="28"/>
      <c r="B48" s="28"/>
      <c r="C48" s="98"/>
      <c r="D48" s="55"/>
      <c r="E48" s="55"/>
      <c r="F48" s="108"/>
      <c r="G48" s="28"/>
      <c r="H48" s="28"/>
      <c r="I48" s="28"/>
      <c r="J48" s="28"/>
      <c r="K48" s="28"/>
      <c r="L48" s="28"/>
      <c r="M48" s="28"/>
      <c r="N48" s="28"/>
      <c r="O48" s="28"/>
      <c r="P48" s="28"/>
      <c r="Q48" s="28"/>
      <c r="S48" s="6"/>
      <c r="T48" s="6"/>
      <c r="U48" s="6"/>
      <c r="V48" s="6"/>
      <c r="W48" s="6"/>
      <c r="X48" s="6"/>
      <c r="Y48" s="6"/>
      <c r="Z48" s="14"/>
      <c r="AA48" s="10"/>
      <c r="AB48" s="6"/>
      <c r="AC48" s="6"/>
      <c r="AD48" s="6"/>
      <c r="AE48" s="6"/>
      <c r="AF48" s="6"/>
      <c r="AG48" s="6"/>
      <c r="AH48" s="6"/>
      <c r="AI48" s="6"/>
      <c r="AJ48" s="14"/>
      <c r="AK48" s="10"/>
      <c r="AL48" s="6"/>
      <c r="AM48" s="6"/>
      <c r="AN48" s="6"/>
      <c r="AO48" s="6"/>
      <c r="AP48" s="6"/>
      <c r="AQ48" s="6"/>
      <c r="AR48" s="6"/>
      <c r="AS48" s="6"/>
      <c r="AT48" s="14"/>
      <c r="AU48" s="47"/>
      <c r="AV48" s="50"/>
      <c r="AX48" s="147"/>
      <c r="AY48" s="43"/>
      <c r="AZ48" s="226"/>
      <c r="BA48" s="226"/>
      <c r="BB48" s="226"/>
      <c r="BC48" s="226"/>
    </row>
    <row r="49" spans="1:51" ht="15" customHeight="1" thickBot="1" x14ac:dyDescent="0.3">
      <c r="A49" s="31" t="s">
        <v>165</v>
      </c>
      <c r="B49" s="31"/>
      <c r="C49" s="107"/>
      <c r="D49" s="123">
        <v>0</v>
      </c>
      <c r="E49" s="55"/>
      <c r="F49" s="108"/>
      <c r="G49" s="28"/>
      <c r="H49" s="28"/>
      <c r="I49" s="28"/>
      <c r="J49" s="28"/>
      <c r="K49" s="105">
        <f>D49*$K$10</f>
        <v>0</v>
      </c>
      <c r="L49" s="28"/>
      <c r="M49" s="105">
        <f>M43-K49</f>
        <v>9795.8140000000003</v>
      </c>
      <c r="N49" s="28" t="s">
        <v>45</v>
      </c>
      <c r="O49" s="30"/>
      <c r="P49" s="106">
        <f>M49/D7</f>
        <v>93.293466666666674</v>
      </c>
      <c r="Q49" s="28" t="s">
        <v>107</v>
      </c>
      <c r="S49" s="6"/>
      <c r="T49" s="6"/>
      <c r="U49" s="6"/>
      <c r="V49" s="6"/>
      <c r="W49" s="6"/>
      <c r="X49" s="6"/>
      <c r="Y49" s="6"/>
      <c r="Z49" s="14"/>
      <c r="AA49" s="10"/>
      <c r="AB49" s="6"/>
      <c r="AC49" s="6"/>
      <c r="AD49" s="6"/>
      <c r="AE49" s="6"/>
      <c r="AF49" s="6"/>
      <c r="AG49" s="6"/>
      <c r="AH49" s="6"/>
      <c r="AI49" s="6"/>
      <c r="AJ49" s="14"/>
      <c r="AK49" s="10"/>
      <c r="AL49" s="6"/>
      <c r="AM49" s="6"/>
      <c r="AN49" s="6"/>
      <c r="AO49" s="6"/>
      <c r="AP49" s="6"/>
      <c r="AQ49" s="6"/>
      <c r="AR49" s="6"/>
      <c r="AS49" s="6"/>
      <c r="AT49" s="14"/>
      <c r="AU49" s="47">
        <v>0</v>
      </c>
      <c r="AV49" s="50">
        <v>0</v>
      </c>
      <c r="AW49" s="46">
        <v>1</v>
      </c>
      <c r="AX49" s="147">
        <f>(AU49-AV49)/AW49</f>
        <v>0</v>
      </c>
      <c r="AY49" s="43"/>
    </row>
    <row r="50" spans="1:51" ht="15" customHeight="1" x14ac:dyDescent="0.25">
      <c r="A50" s="28"/>
      <c r="B50" s="28"/>
      <c r="C50" s="98"/>
      <c r="D50" s="55"/>
      <c r="E50" s="55"/>
      <c r="F50" s="108"/>
      <c r="G50" s="28"/>
      <c r="H50" s="28"/>
      <c r="I50" s="28"/>
      <c r="J50" s="28"/>
      <c r="K50" s="28"/>
      <c r="L50" s="28"/>
      <c r="M50" s="28"/>
      <c r="N50" s="28"/>
      <c r="O50" s="28"/>
      <c r="P50" s="28"/>
      <c r="Q50" s="28"/>
      <c r="S50" s="6"/>
      <c r="T50" s="6"/>
      <c r="U50" s="6"/>
      <c r="V50" s="6"/>
      <c r="W50" s="6"/>
      <c r="X50" s="6"/>
      <c r="Y50" s="6"/>
      <c r="Z50" s="14"/>
      <c r="AA50" s="10"/>
      <c r="AB50" s="6"/>
      <c r="AC50" s="6"/>
      <c r="AD50" s="6"/>
      <c r="AE50" s="6"/>
      <c r="AF50" s="6"/>
      <c r="AG50" s="6"/>
      <c r="AH50" s="6"/>
      <c r="AI50" s="6"/>
      <c r="AJ50" s="14"/>
      <c r="AK50" s="10"/>
      <c r="AL50" s="6"/>
      <c r="AM50" s="6"/>
      <c r="AN50" s="6"/>
      <c r="AO50" s="6"/>
      <c r="AP50" s="6"/>
      <c r="AQ50" s="6"/>
      <c r="AR50" s="6"/>
      <c r="AS50" s="6"/>
      <c r="AT50" s="14"/>
      <c r="AU50" s="47"/>
      <c r="AV50" s="50"/>
      <c r="AX50" s="147"/>
      <c r="AY50" s="43"/>
    </row>
    <row r="51" spans="1:51" ht="10.5" customHeight="1" thickBot="1" x14ac:dyDescent="0.3">
      <c r="C51" s="109"/>
      <c r="D51" s="57"/>
      <c r="E51" s="57"/>
      <c r="F51" s="110"/>
      <c r="S51" s="6"/>
      <c r="T51" s="6"/>
      <c r="U51" s="6"/>
      <c r="V51" s="6"/>
      <c r="W51" s="6"/>
      <c r="X51" s="6"/>
      <c r="Y51" s="6"/>
      <c r="Z51" s="14"/>
      <c r="AA51" s="10"/>
      <c r="AB51" s="6"/>
      <c r="AC51" s="6"/>
      <c r="AD51" s="6"/>
      <c r="AE51" s="6"/>
      <c r="AF51" s="6"/>
      <c r="AG51" s="6"/>
      <c r="AH51" s="6"/>
      <c r="AI51" s="6"/>
      <c r="AJ51" s="14"/>
      <c r="AK51" s="10"/>
      <c r="AL51" s="6"/>
      <c r="AM51" s="6"/>
      <c r="AN51" s="6"/>
      <c r="AO51" s="6"/>
      <c r="AP51" s="6"/>
      <c r="AQ51" s="6"/>
      <c r="AR51" s="6"/>
      <c r="AS51" s="6"/>
      <c r="AT51" s="14"/>
      <c r="AU51" s="47"/>
      <c r="AV51" s="50"/>
      <c r="AX51" s="147"/>
      <c r="AY51" s="43"/>
    </row>
    <row r="52" spans="1:51" ht="18" customHeight="1" thickBot="1" x14ac:dyDescent="0.35">
      <c r="A52" t="s">
        <v>133</v>
      </c>
      <c r="C52" s="109"/>
      <c r="D52" s="57"/>
      <c r="E52" s="57"/>
      <c r="F52" s="110"/>
      <c r="K52" s="73" t="s">
        <v>132</v>
      </c>
      <c r="L52" s="160">
        <f>P49*2.6+80</f>
        <v>322.5630133333334</v>
      </c>
      <c r="N52" s="57" t="s">
        <v>56</v>
      </c>
      <c r="P52" s="33" t="str">
        <f>IF(P49&lt;51,"LTV",(IF(P49&lt;90,"MTV","HTV")))</f>
        <v>HTV</v>
      </c>
      <c r="S52" s="6"/>
      <c r="T52" s="6"/>
      <c r="U52" s="6"/>
      <c r="V52" s="6"/>
      <c r="W52" s="6"/>
      <c r="X52" s="6"/>
      <c r="Y52" s="6"/>
      <c r="Z52" s="14"/>
      <c r="AA52" s="10"/>
      <c r="AB52" s="6"/>
      <c r="AC52" s="6"/>
      <c r="AD52" s="6"/>
      <c r="AE52" s="6"/>
      <c r="AF52" s="6"/>
      <c r="AG52" s="6"/>
      <c r="AH52" s="6"/>
      <c r="AI52" s="6"/>
      <c r="AJ52" s="14"/>
      <c r="AK52" s="10"/>
      <c r="AL52" s="6"/>
      <c r="AM52" s="6"/>
      <c r="AN52" s="6"/>
      <c r="AO52" s="6"/>
      <c r="AP52" s="6"/>
      <c r="AQ52" s="6"/>
      <c r="AR52" s="6"/>
      <c r="AS52" s="6"/>
      <c r="AT52" s="14"/>
      <c r="AU52" s="47"/>
      <c r="AV52" s="50"/>
      <c r="AX52" s="147"/>
      <c r="AY52" s="43"/>
    </row>
    <row r="53" spans="1:51" ht="6.75" customHeight="1" x14ac:dyDescent="0.25">
      <c r="C53" s="109"/>
      <c r="D53" s="57"/>
      <c r="E53" s="57"/>
      <c r="F53" s="110"/>
      <c r="S53" s="6"/>
      <c r="T53" s="6"/>
      <c r="U53" s="6"/>
      <c r="V53" s="6"/>
      <c r="W53" s="6"/>
      <c r="X53" s="6"/>
      <c r="Y53" s="6"/>
      <c r="Z53" s="14"/>
      <c r="AA53" s="10"/>
      <c r="AB53" s="6"/>
      <c r="AC53" s="6"/>
      <c r="AD53" s="6"/>
      <c r="AE53" s="6"/>
      <c r="AF53" s="6"/>
      <c r="AG53" s="6"/>
      <c r="AH53" s="6"/>
      <c r="AI53" s="6"/>
      <c r="AJ53" s="14"/>
      <c r="AK53" s="10"/>
      <c r="AL53" s="6"/>
      <c r="AM53" s="6"/>
      <c r="AN53" s="6"/>
      <c r="AO53" s="6"/>
      <c r="AP53" s="6"/>
      <c r="AQ53" s="6"/>
      <c r="AR53" s="6"/>
      <c r="AS53" s="6"/>
      <c r="AT53" s="14"/>
      <c r="AU53" s="47"/>
      <c r="AV53" s="50"/>
      <c r="AX53" s="147"/>
      <c r="AY53" s="43"/>
    </row>
    <row r="54" spans="1:51" ht="15.75" customHeight="1" x14ac:dyDescent="0.25">
      <c r="A54" s="32" t="s">
        <v>55</v>
      </c>
      <c r="B54" s="32"/>
      <c r="C54" s="93"/>
      <c r="D54" s="32"/>
      <c r="E54" s="55"/>
      <c r="F54" s="108"/>
      <c r="G54" s="28"/>
      <c r="H54" s="28"/>
      <c r="I54" s="28"/>
      <c r="J54" s="28"/>
      <c r="K54" s="28"/>
      <c r="L54" s="28"/>
      <c r="M54" s="28"/>
      <c r="N54" s="28"/>
      <c r="O54" s="28"/>
      <c r="P54" s="28"/>
      <c r="Q54" s="28"/>
      <c r="S54" s="6"/>
      <c r="T54" s="6"/>
      <c r="U54" s="6"/>
      <c r="V54" s="6"/>
      <c r="W54" s="6"/>
      <c r="X54" s="6"/>
      <c r="Y54" s="6"/>
      <c r="Z54" s="14"/>
      <c r="AA54" s="10"/>
      <c r="AB54" s="6"/>
      <c r="AC54" s="6"/>
      <c r="AD54" s="6"/>
      <c r="AE54" s="6"/>
      <c r="AF54" s="6"/>
      <c r="AG54" s="6"/>
      <c r="AH54" s="6"/>
      <c r="AI54" s="6"/>
      <c r="AJ54" s="14"/>
      <c r="AK54" s="10"/>
      <c r="AL54" s="6"/>
      <c r="AM54" s="6"/>
      <c r="AN54" s="6"/>
      <c r="AO54" s="6"/>
      <c r="AP54" s="6"/>
      <c r="AQ54" s="6"/>
      <c r="AR54" s="6"/>
      <c r="AS54" s="6"/>
      <c r="AT54" s="14"/>
      <c r="AU54" s="47"/>
      <c r="AV54" s="50"/>
      <c r="AX54" s="147"/>
      <c r="AY54" s="43"/>
    </row>
    <row r="55" spans="1:51" ht="15.75" customHeight="1" thickBot="1" x14ac:dyDescent="0.3">
      <c r="A55" s="32"/>
      <c r="B55" s="32"/>
      <c r="C55" s="93"/>
      <c r="D55" s="32"/>
      <c r="E55" s="55"/>
      <c r="F55" s="108"/>
      <c r="G55" s="28"/>
      <c r="H55" s="28"/>
      <c r="I55" s="28"/>
      <c r="J55" s="28"/>
      <c r="K55" s="28"/>
      <c r="L55" s="28"/>
      <c r="M55" s="28"/>
      <c r="N55" s="28"/>
      <c r="O55" s="28"/>
      <c r="P55" s="28"/>
      <c r="Q55" s="28"/>
      <c r="S55" s="6"/>
      <c r="T55" s="6"/>
      <c r="U55" s="6"/>
      <c r="V55" s="6"/>
      <c r="W55" s="6"/>
      <c r="X55" s="6"/>
      <c r="Y55" s="6"/>
      <c r="Z55" s="14"/>
      <c r="AA55" s="10"/>
      <c r="AB55" s="6"/>
      <c r="AC55" s="6"/>
      <c r="AD55" s="6"/>
      <c r="AE55" s="6"/>
      <c r="AF55" s="6"/>
      <c r="AG55" s="6"/>
      <c r="AH55" s="6"/>
      <c r="AI55" s="6"/>
      <c r="AJ55" s="14"/>
      <c r="AK55" s="10"/>
      <c r="AL55" s="6"/>
      <c r="AM55" s="6"/>
      <c r="AN55" s="6"/>
      <c r="AO55" s="6"/>
      <c r="AP55" s="6"/>
      <c r="AQ55" s="6"/>
      <c r="AR55" s="6"/>
      <c r="AS55" s="6"/>
      <c r="AT55" s="14"/>
      <c r="AU55" s="47"/>
      <c r="AV55" s="50"/>
      <c r="AX55" s="147"/>
      <c r="AY55" s="43"/>
    </row>
    <row r="56" spans="1:51" ht="15" customHeight="1" thickBot="1" x14ac:dyDescent="0.3">
      <c r="A56" s="31" t="s">
        <v>57</v>
      </c>
      <c r="B56" s="31"/>
      <c r="C56" s="107"/>
      <c r="D56" s="135" t="s">
        <v>134</v>
      </c>
      <c r="E56" s="55"/>
      <c r="F56" s="108"/>
      <c r="G56" s="28"/>
      <c r="H56" s="125">
        <f>IF(D56="ja", 40%, 0)</f>
        <v>0</v>
      </c>
      <c r="I56" s="28"/>
      <c r="J56" s="28"/>
      <c r="K56" s="105">
        <f>E18-(H56*D18)</f>
        <v>3148.3872000000001</v>
      </c>
      <c r="L56" s="28"/>
      <c r="M56" s="34"/>
      <c r="N56" s="28"/>
      <c r="O56" s="28"/>
      <c r="P56" s="28"/>
      <c r="Q56" s="28"/>
      <c r="S56" s="6"/>
      <c r="T56" s="6"/>
      <c r="U56" s="6"/>
      <c r="V56" s="6"/>
      <c r="W56" s="6"/>
      <c r="X56" s="6"/>
      <c r="Y56" s="6"/>
      <c r="Z56" s="14"/>
      <c r="AA56" s="10"/>
      <c r="AB56" s="6"/>
      <c r="AC56" s="6"/>
      <c r="AD56" s="6"/>
      <c r="AE56" s="6"/>
      <c r="AF56" s="6"/>
      <c r="AG56" s="6"/>
      <c r="AH56" s="6"/>
      <c r="AI56" s="6"/>
      <c r="AJ56" s="14"/>
      <c r="AK56" s="10"/>
      <c r="AL56" s="6"/>
      <c r="AM56" s="6"/>
      <c r="AN56" s="6"/>
      <c r="AO56" s="6"/>
      <c r="AP56" s="6"/>
      <c r="AQ56" s="6"/>
      <c r="AR56" s="6"/>
      <c r="AS56" s="6"/>
      <c r="AT56" s="14"/>
      <c r="AU56" s="47">
        <v>0</v>
      </c>
      <c r="AV56" s="50">
        <v>0</v>
      </c>
      <c r="AW56" s="46">
        <v>1</v>
      </c>
      <c r="AX56" s="147">
        <f>(AU56-AV56)/AW56</f>
        <v>0</v>
      </c>
      <c r="AY56" s="43"/>
    </row>
    <row r="57" spans="1:51" ht="15" customHeight="1" thickBot="1" x14ac:dyDescent="0.3">
      <c r="A57" s="31"/>
      <c r="B57" s="31"/>
      <c r="C57" s="107"/>
      <c r="D57" s="55"/>
      <c r="E57" s="55"/>
      <c r="F57" s="108"/>
      <c r="G57" s="28"/>
      <c r="H57" s="28"/>
      <c r="I57" s="28"/>
      <c r="J57" s="28"/>
      <c r="K57" s="28"/>
      <c r="L57" s="28"/>
      <c r="M57" s="28"/>
      <c r="N57" s="28"/>
      <c r="O57" s="28"/>
      <c r="P57" s="28"/>
      <c r="Q57" s="28"/>
      <c r="S57" s="6"/>
      <c r="T57" s="6"/>
      <c r="U57" s="6"/>
      <c r="V57" s="6"/>
      <c r="W57" s="6"/>
      <c r="X57" s="6"/>
      <c r="Y57" s="6"/>
      <c r="Z57" s="14"/>
      <c r="AA57" s="10"/>
      <c r="AB57" s="6"/>
      <c r="AC57" s="6"/>
      <c r="AD57" s="6"/>
      <c r="AE57" s="6"/>
      <c r="AF57" s="6"/>
      <c r="AG57" s="6"/>
      <c r="AH57" s="6"/>
      <c r="AI57" s="6"/>
      <c r="AJ57" s="14"/>
      <c r="AK57" s="10"/>
      <c r="AL57" s="6"/>
      <c r="AM57" s="6"/>
      <c r="AN57" s="6"/>
      <c r="AO57" s="6"/>
      <c r="AP57" s="6"/>
      <c r="AQ57" s="6"/>
      <c r="AR57" s="6"/>
      <c r="AS57" s="6"/>
      <c r="AT57" s="14"/>
      <c r="AU57" s="47"/>
      <c r="AV57" s="50"/>
      <c r="AX57" s="147"/>
      <c r="AY57" s="43"/>
    </row>
    <row r="58" spans="1:51" ht="15" customHeight="1" thickBot="1" x14ac:dyDescent="0.3">
      <c r="A58" s="31" t="s">
        <v>135</v>
      </c>
      <c r="B58" s="31"/>
      <c r="C58" s="107"/>
      <c r="D58" s="134">
        <f>(E13*E14*E15)*(1-H56)</f>
        <v>252</v>
      </c>
      <c r="E58" s="55" t="s">
        <v>136</v>
      </c>
      <c r="F58" s="108"/>
      <c r="G58" s="28"/>
      <c r="H58" s="28"/>
      <c r="I58" s="28"/>
      <c r="J58" s="28"/>
      <c r="K58" s="28"/>
      <c r="L58" s="28"/>
      <c r="M58" s="28"/>
      <c r="N58" s="28"/>
      <c r="O58" s="28"/>
      <c r="P58" s="28"/>
      <c r="Q58" s="28"/>
      <c r="S58" s="6"/>
      <c r="T58" s="6"/>
      <c r="U58" s="6"/>
      <c r="V58" s="6"/>
      <c r="W58" s="6"/>
      <c r="X58" s="6"/>
      <c r="Y58" s="6"/>
      <c r="Z58" s="14"/>
      <c r="AA58" s="10"/>
      <c r="AB58" s="6"/>
      <c r="AC58" s="6"/>
      <c r="AD58" s="6"/>
      <c r="AE58" s="6"/>
      <c r="AF58" s="6"/>
      <c r="AG58" s="6"/>
      <c r="AH58" s="6"/>
      <c r="AI58" s="6"/>
      <c r="AJ58" s="14"/>
      <c r="AK58" s="10"/>
      <c r="AL58" s="6"/>
      <c r="AM58" s="6"/>
      <c r="AN58" s="6"/>
      <c r="AO58" s="6"/>
      <c r="AP58" s="6"/>
      <c r="AQ58" s="6"/>
      <c r="AR58" s="6"/>
      <c r="AS58" s="6"/>
      <c r="AT58" s="14"/>
      <c r="AU58" s="47"/>
      <c r="AV58" s="50"/>
      <c r="AX58" s="147"/>
      <c r="AY58" s="43"/>
    </row>
    <row r="59" spans="1:51" ht="15" customHeight="1" x14ac:dyDescent="0.25">
      <c r="A59" s="31"/>
      <c r="B59" s="31"/>
      <c r="C59" s="107"/>
      <c r="D59" s="55"/>
      <c r="E59" s="55"/>
      <c r="F59" s="108"/>
      <c r="G59" s="28"/>
      <c r="H59" s="28"/>
      <c r="I59" s="28"/>
      <c r="J59" s="28"/>
      <c r="K59" s="28"/>
      <c r="L59" s="28"/>
      <c r="M59" s="28"/>
      <c r="N59" s="28"/>
      <c r="O59" s="28"/>
      <c r="P59" s="28"/>
      <c r="Q59" s="28"/>
      <c r="S59" s="6"/>
      <c r="T59" s="6"/>
      <c r="U59" s="6"/>
      <c r="V59" s="6"/>
      <c r="W59" s="6"/>
      <c r="X59" s="6"/>
      <c r="Y59" s="6"/>
      <c r="Z59" s="14"/>
      <c r="AA59" s="10"/>
      <c r="AB59" s="6"/>
      <c r="AC59" s="6"/>
      <c r="AD59" s="6"/>
      <c r="AE59" s="6"/>
      <c r="AF59" s="6"/>
      <c r="AG59" s="6"/>
      <c r="AH59" s="6"/>
      <c r="AI59" s="6"/>
      <c r="AJ59" s="14"/>
      <c r="AK59" s="10"/>
      <c r="AL59" s="6"/>
      <c r="AM59" s="6"/>
      <c r="AN59" s="6"/>
      <c r="AO59" s="6"/>
      <c r="AP59" s="6"/>
      <c r="AQ59" s="6"/>
      <c r="AR59" s="6"/>
      <c r="AS59" s="6"/>
      <c r="AT59" s="14"/>
      <c r="AU59" s="47"/>
      <c r="AV59" s="50"/>
      <c r="AX59" s="147"/>
      <c r="AY59" s="43"/>
    </row>
    <row r="60" spans="1:51" ht="15" customHeight="1" x14ac:dyDescent="0.25">
      <c r="A60" s="28"/>
      <c r="B60" s="28"/>
      <c r="C60" s="98"/>
      <c r="D60" s="55"/>
      <c r="E60" s="55"/>
      <c r="F60" s="108"/>
      <c r="G60" s="28"/>
      <c r="H60" s="28"/>
      <c r="I60" s="28"/>
      <c r="J60" s="28"/>
      <c r="K60" s="28"/>
      <c r="L60" s="28"/>
      <c r="M60" s="28"/>
      <c r="N60" s="28"/>
      <c r="O60" s="28"/>
      <c r="P60" s="28"/>
      <c r="Q60" s="28"/>
      <c r="S60" s="6"/>
      <c r="T60" s="6"/>
      <c r="U60" s="6"/>
      <c r="V60" s="6"/>
      <c r="W60" s="6"/>
      <c r="X60" s="6"/>
      <c r="Y60" s="6"/>
      <c r="Z60" s="14"/>
      <c r="AA60" s="10"/>
      <c r="AB60" s="6"/>
      <c r="AC60" s="6"/>
      <c r="AD60" s="6"/>
      <c r="AE60" s="6"/>
      <c r="AF60" s="6"/>
      <c r="AG60" s="6"/>
      <c r="AH60" s="6"/>
      <c r="AI60" s="6"/>
      <c r="AJ60" s="14"/>
      <c r="AK60" s="10"/>
      <c r="AL60" s="6"/>
      <c r="AM60" s="6"/>
      <c r="AN60" s="6"/>
      <c r="AO60" s="6"/>
      <c r="AP60" s="6"/>
      <c r="AQ60" s="6"/>
      <c r="AR60" s="6"/>
      <c r="AS60" s="6"/>
      <c r="AT60" s="14"/>
      <c r="AU60" s="47"/>
      <c r="AV60" s="50"/>
      <c r="AX60" s="147"/>
      <c r="AY60" s="43"/>
    </row>
    <row r="61" spans="1:51" ht="12" customHeight="1" x14ac:dyDescent="0.25">
      <c r="C61" s="109"/>
      <c r="D61" s="57"/>
      <c r="E61" s="57"/>
      <c r="F61" s="110"/>
      <c r="S61" s="6"/>
      <c r="T61" s="6"/>
      <c r="U61" s="6"/>
      <c r="V61" s="6"/>
      <c r="W61" s="6"/>
      <c r="X61" s="6"/>
      <c r="Y61" s="6"/>
      <c r="Z61" s="14"/>
      <c r="AA61" s="10"/>
      <c r="AB61" s="6"/>
      <c r="AC61" s="6"/>
      <c r="AD61" s="6"/>
      <c r="AE61" s="6"/>
      <c r="AF61" s="6"/>
      <c r="AG61" s="6"/>
      <c r="AH61" s="6"/>
      <c r="AI61" s="6"/>
      <c r="AJ61" s="14"/>
      <c r="AK61" s="10"/>
      <c r="AL61" s="6"/>
      <c r="AM61" s="6"/>
      <c r="AN61" s="6"/>
      <c r="AO61" s="6"/>
      <c r="AP61" s="6"/>
      <c r="AQ61" s="6"/>
      <c r="AR61" s="6"/>
      <c r="AS61" s="6"/>
      <c r="AT61" s="14"/>
      <c r="AU61" s="47"/>
      <c r="AV61" s="50"/>
      <c r="AX61" s="147"/>
      <c r="AY61" s="43"/>
    </row>
    <row r="62" spans="1:51" ht="15" customHeight="1" thickBot="1" x14ac:dyDescent="0.3">
      <c r="A62" s="67" t="s">
        <v>60</v>
      </c>
      <c r="B62" s="67"/>
      <c r="C62" s="99"/>
      <c r="D62" s="35"/>
      <c r="E62" s="35"/>
      <c r="F62" s="111"/>
      <c r="G62" s="36"/>
      <c r="H62" s="36"/>
      <c r="I62" s="36"/>
      <c r="J62" s="36"/>
      <c r="K62" s="36"/>
      <c r="L62" s="36"/>
      <c r="M62" s="36"/>
      <c r="N62" s="36"/>
      <c r="O62" s="36"/>
      <c r="P62" s="36"/>
      <c r="Q62" s="227" t="s">
        <v>101</v>
      </c>
      <c r="S62" s="6"/>
      <c r="T62" s="6"/>
      <c r="U62" s="6"/>
      <c r="V62" s="6"/>
      <c r="W62" s="6"/>
      <c r="X62" s="6"/>
      <c r="Y62" s="6"/>
      <c r="Z62" s="14"/>
      <c r="AA62" s="10"/>
      <c r="AB62" s="6"/>
      <c r="AC62" s="6"/>
      <c r="AD62" s="6"/>
      <c r="AE62" s="6"/>
      <c r="AF62" s="6"/>
      <c r="AG62" s="6"/>
      <c r="AH62" s="6"/>
      <c r="AI62" s="6"/>
      <c r="AJ62" s="14"/>
      <c r="AK62" s="10"/>
      <c r="AL62" s="6"/>
      <c r="AM62" s="6"/>
      <c r="AN62" s="6"/>
      <c r="AO62" s="6"/>
      <c r="AP62" s="6"/>
      <c r="AQ62" s="6"/>
      <c r="AR62" s="6"/>
      <c r="AS62" s="6"/>
      <c r="AT62" s="14"/>
      <c r="AU62" s="47"/>
      <c r="AV62" s="50"/>
      <c r="AX62" s="147"/>
      <c r="AY62" s="43"/>
    </row>
    <row r="63" spans="1:51" ht="15" customHeight="1" thickBot="1" x14ac:dyDescent="0.3">
      <c r="A63" s="35"/>
      <c r="B63" s="35"/>
      <c r="C63" s="213" t="s">
        <v>65</v>
      </c>
      <c r="D63" s="214"/>
      <c r="E63" s="214"/>
      <c r="F63" s="215"/>
      <c r="G63" s="36"/>
      <c r="H63" s="35"/>
      <c r="I63" s="36"/>
      <c r="J63" s="36"/>
      <c r="K63" s="185"/>
      <c r="L63" s="67"/>
      <c r="M63" s="36"/>
      <c r="N63" s="36"/>
      <c r="O63" s="36"/>
      <c r="P63" s="36"/>
      <c r="Q63" s="228"/>
      <c r="S63" s="6"/>
      <c r="T63" s="6"/>
      <c r="U63" s="6"/>
      <c r="V63" s="6"/>
      <c r="W63" s="6"/>
      <c r="X63" s="6"/>
      <c r="Y63" s="6"/>
      <c r="Z63" s="14"/>
      <c r="AA63" s="10"/>
      <c r="AB63" s="6"/>
      <c r="AC63" s="6"/>
      <c r="AD63" s="6"/>
      <c r="AE63" s="6"/>
      <c r="AF63" s="6"/>
      <c r="AG63" s="6"/>
      <c r="AH63" s="6"/>
      <c r="AI63" s="6"/>
      <c r="AJ63" s="14"/>
      <c r="AK63" s="10"/>
      <c r="AL63" s="6"/>
      <c r="AM63" s="6"/>
      <c r="AN63" s="6"/>
      <c r="AO63" s="6"/>
      <c r="AP63" s="6"/>
      <c r="AQ63" s="6"/>
      <c r="AR63" s="6"/>
      <c r="AS63" s="6"/>
      <c r="AT63" s="14"/>
      <c r="AU63" s="47">
        <v>0</v>
      </c>
      <c r="AV63" s="50">
        <v>0</v>
      </c>
      <c r="AW63" s="46">
        <v>1</v>
      </c>
      <c r="AX63" s="147">
        <f>(AU63-AV63)/AW63</f>
        <v>0</v>
      </c>
      <c r="AY63" s="43"/>
    </row>
    <row r="64" spans="1:51" ht="15" customHeight="1" thickBot="1" x14ac:dyDescent="0.3">
      <c r="A64" s="36" t="s">
        <v>59</v>
      </c>
      <c r="B64" s="36"/>
      <c r="C64" s="112"/>
      <c r="D64" s="35"/>
      <c r="E64" s="35"/>
      <c r="F64" s="111"/>
      <c r="G64" s="36"/>
      <c r="H64" s="36"/>
      <c r="I64" s="36"/>
      <c r="J64" s="36"/>
      <c r="K64" s="36"/>
      <c r="L64" s="36"/>
      <c r="M64" s="186">
        <f>K56+M49</f>
        <v>12944.2012</v>
      </c>
      <c r="N64" s="38" t="s">
        <v>45</v>
      </c>
      <c r="O64" s="187">
        <f>ROUND((((L52*29))/1000),1)</f>
        <v>9.4</v>
      </c>
      <c r="P64" s="67" t="s">
        <v>212</v>
      </c>
      <c r="Q64" s="36"/>
      <c r="S64" s="6"/>
      <c r="T64" s="6"/>
      <c r="U64" s="6"/>
      <c r="V64" s="6"/>
      <c r="W64" s="6"/>
      <c r="X64" s="6"/>
      <c r="Y64" s="6"/>
      <c r="Z64" s="14"/>
      <c r="AA64" s="10"/>
      <c r="AB64" s="6"/>
      <c r="AC64" s="6"/>
      <c r="AD64" s="6"/>
      <c r="AE64" s="6"/>
      <c r="AF64" s="6"/>
      <c r="AG64" s="6"/>
      <c r="AH64" s="6"/>
      <c r="AI64" s="6"/>
      <c r="AJ64" s="14"/>
      <c r="AK64" s="10"/>
      <c r="AL64" s="6"/>
      <c r="AM64" s="6"/>
      <c r="AN64" s="6"/>
      <c r="AO64" s="6"/>
      <c r="AP64" s="6"/>
      <c r="AQ64" s="6"/>
      <c r="AR64" s="6"/>
      <c r="AS64" s="6"/>
      <c r="AT64" s="14"/>
      <c r="AU64" s="47"/>
      <c r="AV64" s="50"/>
      <c r="AX64" s="147"/>
      <c r="AY64" s="43"/>
    </row>
    <row r="65" spans="1:51" ht="15" customHeight="1" thickBot="1" x14ac:dyDescent="0.3">
      <c r="A65" s="36"/>
      <c r="B65" s="36"/>
      <c r="C65" s="112"/>
      <c r="D65" s="35"/>
      <c r="E65" s="35"/>
      <c r="F65" s="111"/>
      <c r="G65" s="36"/>
      <c r="H65" s="36"/>
      <c r="I65" s="36"/>
      <c r="J65" s="36"/>
      <c r="K65" s="36"/>
      <c r="L65" s="36"/>
      <c r="M65" s="36"/>
      <c r="N65" s="36"/>
      <c r="O65" s="67" t="s">
        <v>208</v>
      </c>
      <c r="P65" s="36"/>
      <c r="Q65" s="36"/>
      <c r="S65" s="6"/>
      <c r="T65" s="6"/>
      <c r="U65" s="6"/>
      <c r="V65" s="6"/>
      <c r="W65" s="6"/>
      <c r="X65" s="6"/>
      <c r="Y65" s="6"/>
      <c r="Z65" s="14"/>
      <c r="AA65" s="10"/>
      <c r="AB65" s="6"/>
      <c r="AC65" s="6"/>
      <c r="AD65" s="6"/>
      <c r="AE65" s="6"/>
      <c r="AF65" s="6"/>
      <c r="AG65" s="6"/>
      <c r="AH65" s="6"/>
      <c r="AI65" s="6"/>
      <c r="AJ65" s="14"/>
      <c r="AK65" s="10"/>
      <c r="AL65" s="6"/>
      <c r="AM65" s="6"/>
      <c r="AN65" s="6"/>
      <c r="AO65" s="6"/>
      <c r="AP65" s="6"/>
      <c r="AQ65" s="6"/>
      <c r="AR65" s="6"/>
      <c r="AS65" s="6"/>
      <c r="AT65" s="14"/>
      <c r="AU65" s="47"/>
      <c r="AV65" s="50"/>
      <c r="AX65" s="147"/>
      <c r="AY65" s="43"/>
    </row>
    <row r="66" spans="1:51" ht="15" customHeight="1" thickBot="1" x14ac:dyDescent="0.3">
      <c r="A66" s="39" t="s">
        <v>61</v>
      </c>
      <c r="B66" s="39"/>
      <c r="C66" s="113"/>
      <c r="D66" s="114"/>
      <c r="E66" s="35"/>
      <c r="F66" s="111"/>
      <c r="G66" s="36"/>
      <c r="H66" s="36"/>
      <c r="I66" s="37">
        <f>IF(C63='CEL selectors'!A1, 'CEL selectors'!B1, (IF(C63='CEL selectors'!A2, 'CEL selectors'!B2, (IF(C63='CEL selectors'!A3, 'CEL selectors'!B3, (IF(C63='CEL selectors'!A4, 'CEL selectors'!B4, 'CEL selectors'!B5)))))))+I27</f>
        <v>175</v>
      </c>
      <c r="J66" s="36" t="s">
        <v>45</v>
      </c>
      <c r="K66" s="36"/>
      <c r="L66" s="36"/>
      <c r="M66" s="36"/>
      <c r="N66" s="36"/>
      <c r="O66" s="36" t="s">
        <v>209</v>
      </c>
      <c r="P66" s="36"/>
      <c r="Q66" s="36"/>
      <c r="S66" s="6"/>
      <c r="T66" s="6"/>
      <c r="U66" s="6"/>
      <c r="V66" s="6"/>
      <c r="W66" s="6"/>
      <c r="X66" s="6"/>
      <c r="Y66" s="6"/>
      <c r="Z66" s="14"/>
      <c r="AA66" s="10"/>
      <c r="AB66" s="6"/>
      <c r="AC66" s="6"/>
      <c r="AD66" s="6"/>
      <c r="AE66" s="6"/>
      <c r="AF66" s="6"/>
      <c r="AG66" s="6"/>
      <c r="AH66" s="6"/>
      <c r="AI66" s="6"/>
      <c r="AJ66" s="14"/>
      <c r="AK66" s="10"/>
      <c r="AL66" s="6"/>
      <c r="AM66" s="6"/>
      <c r="AN66" s="6"/>
      <c r="AO66" s="6"/>
      <c r="AP66" s="6"/>
      <c r="AQ66" s="6"/>
      <c r="AR66" s="6"/>
      <c r="AS66" s="6"/>
      <c r="AT66" s="14"/>
      <c r="AU66" s="47"/>
      <c r="AV66" s="50"/>
      <c r="AX66" s="147"/>
      <c r="AY66" s="43"/>
    </row>
    <row r="67" spans="1:51" ht="15" customHeight="1" x14ac:dyDescent="0.25">
      <c r="A67" s="36"/>
      <c r="B67" s="36"/>
      <c r="C67" s="112"/>
      <c r="D67" s="35"/>
      <c r="E67" s="35"/>
      <c r="F67" s="111"/>
      <c r="G67" s="36"/>
      <c r="H67" s="36"/>
      <c r="I67" s="36"/>
      <c r="J67" s="36"/>
      <c r="K67" s="36"/>
      <c r="L67" s="36"/>
      <c r="M67" s="36"/>
      <c r="N67" s="36"/>
      <c r="O67" s="36"/>
      <c r="P67" s="36"/>
      <c r="Q67" s="36"/>
      <c r="S67" s="6"/>
      <c r="T67" s="6"/>
      <c r="U67" s="6"/>
      <c r="V67" s="6"/>
      <c r="W67" s="6"/>
      <c r="X67" s="6"/>
      <c r="Y67" s="6"/>
      <c r="Z67" s="14"/>
      <c r="AA67" s="10"/>
      <c r="AB67" s="6"/>
      <c r="AC67" s="6"/>
      <c r="AD67" s="6"/>
      <c r="AE67" s="6"/>
      <c r="AF67" s="6"/>
      <c r="AG67" s="6"/>
      <c r="AH67" s="6"/>
      <c r="AI67" s="6"/>
      <c r="AJ67" s="14"/>
      <c r="AK67" s="10"/>
      <c r="AL67" s="6"/>
      <c r="AM67" s="6"/>
      <c r="AN67" s="6"/>
      <c r="AO67" s="6"/>
      <c r="AP67" s="6"/>
      <c r="AQ67" s="6"/>
      <c r="AR67" s="6"/>
      <c r="AS67" s="6"/>
      <c r="AT67" s="14"/>
      <c r="AU67" s="47"/>
      <c r="AV67" s="50"/>
      <c r="AX67" s="147"/>
      <c r="AY67" s="43"/>
    </row>
    <row r="68" spans="1:51" ht="9" customHeight="1" x14ac:dyDescent="0.25">
      <c r="C68" s="109"/>
      <c r="D68" s="57"/>
      <c r="E68" s="57"/>
      <c r="F68" s="110"/>
      <c r="S68" s="6"/>
      <c r="T68" s="6"/>
      <c r="U68" s="6"/>
      <c r="V68" s="6"/>
      <c r="W68" s="6"/>
      <c r="X68" s="6"/>
      <c r="Y68" s="6"/>
      <c r="Z68" s="14"/>
      <c r="AA68" s="10"/>
      <c r="AB68" s="6"/>
      <c r="AC68" s="6"/>
      <c r="AD68" s="6"/>
      <c r="AE68" s="6"/>
      <c r="AF68" s="6"/>
      <c r="AG68" s="6"/>
      <c r="AH68" s="6"/>
      <c r="AI68" s="6"/>
      <c r="AJ68" s="14"/>
      <c r="AK68" s="10"/>
      <c r="AL68" s="6"/>
      <c r="AM68" s="6"/>
      <c r="AN68" s="6"/>
      <c r="AO68" s="6"/>
      <c r="AP68" s="6"/>
      <c r="AQ68" s="6"/>
      <c r="AR68" s="6"/>
      <c r="AS68" s="6"/>
      <c r="AT68" s="14"/>
      <c r="AU68" s="47"/>
      <c r="AV68" s="50"/>
      <c r="AX68" s="147"/>
      <c r="AY68" s="43"/>
    </row>
    <row r="69" spans="1:51" ht="15" customHeight="1" x14ac:dyDescent="0.3">
      <c r="A69" s="68" t="s">
        <v>206</v>
      </c>
      <c r="B69" s="68"/>
      <c r="C69" s="102"/>
      <c r="D69" s="83"/>
      <c r="E69" s="115"/>
      <c r="F69" s="116"/>
      <c r="G69" s="40"/>
      <c r="H69" s="40"/>
      <c r="I69" s="40"/>
      <c r="J69" s="40"/>
      <c r="K69" s="40"/>
      <c r="L69" s="40"/>
      <c r="M69" s="40"/>
      <c r="N69" s="40"/>
      <c r="O69" s="40"/>
      <c r="P69" s="40"/>
      <c r="Q69" s="40"/>
      <c r="S69" s="6"/>
      <c r="T69" s="6"/>
      <c r="U69" s="6"/>
      <c r="V69" s="6"/>
      <c r="W69" s="6"/>
      <c r="X69" s="6"/>
      <c r="Y69" s="6"/>
      <c r="Z69" s="14"/>
      <c r="AA69" s="10"/>
      <c r="AB69" s="6"/>
      <c r="AC69" s="6"/>
      <c r="AD69" s="6"/>
      <c r="AE69" s="6"/>
      <c r="AF69" s="6"/>
      <c r="AG69" s="6"/>
      <c r="AH69" s="6"/>
      <c r="AI69" s="6"/>
      <c r="AJ69" s="14"/>
      <c r="AK69" s="10"/>
      <c r="AL69" s="6"/>
      <c r="AM69" s="6"/>
      <c r="AN69" s="6"/>
      <c r="AO69" s="6"/>
      <c r="AP69" s="6"/>
      <c r="AQ69" s="6"/>
      <c r="AR69" s="6"/>
      <c r="AS69" s="6"/>
      <c r="AT69" s="14"/>
      <c r="AU69" s="47"/>
      <c r="AV69" s="50"/>
      <c r="AX69" s="147"/>
      <c r="AY69" s="43"/>
    </row>
    <row r="70" spans="1:51" ht="15" customHeight="1" thickBot="1" x14ac:dyDescent="0.3">
      <c r="A70" s="40"/>
      <c r="B70" s="40"/>
      <c r="C70" s="117"/>
      <c r="D70" s="115"/>
      <c r="E70" s="115"/>
      <c r="F70" s="116"/>
      <c r="G70" s="40"/>
      <c r="H70" s="40"/>
      <c r="I70" s="40"/>
      <c r="J70" s="40"/>
      <c r="K70" s="40"/>
      <c r="L70" s="40"/>
      <c r="M70" s="40"/>
      <c r="N70" s="40"/>
      <c r="O70" s="40"/>
      <c r="P70" s="40"/>
      <c r="Q70" s="40"/>
      <c r="S70" s="6"/>
      <c r="T70" s="6"/>
      <c r="U70" s="6"/>
      <c r="V70" s="6"/>
      <c r="W70" s="6"/>
      <c r="X70" s="6"/>
      <c r="Y70" s="6"/>
      <c r="Z70" s="14"/>
      <c r="AA70" s="10"/>
      <c r="AB70" s="6"/>
      <c r="AC70" s="6"/>
      <c r="AD70" s="6"/>
      <c r="AE70" s="6"/>
      <c r="AF70" s="6"/>
      <c r="AG70" s="6"/>
      <c r="AH70" s="6"/>
      <c r="AI70" s="6"/>
      <c r="AJ70" s="14"/>
      <c r="AK70" s="10"/>
      <c r="AL70" s="6"/>
      <c r="AM70" s="6"/>
      <c r="AN70" s="6"/>
      <c r="AO70" s="6"/>
      <c r="AP70" s="6"/>
      <c r="AQ70" s="6"/>
      <c r="AR70" s="6"/>
      <c r="AS70" s="6"/>
      <c r="AT70" s="14"/>
      <c r="AU70" s="47"/>
      <c r="AV70" s="50"/>
      <c r="AX70" s="147"/>
      <c r="AY70" s="43"/>
    </row>
    <row r="71" spans="1:51" ht="15" customHeight="1" thickBot="1" x14ac:dyDescent="0.3">
      <c r="A71" s="40" t="s">
        <v>163</v>
      </c>
      <c r="B71" s="40"/>
      <c r="C71" s="117"/>
      <c r="D71" s="175">
        <v>0.4</v>
      </c>
      <c r="E71" s="115" t="s">
        <v>100</v>
      </c>
      <c r="F71" s="116"/>
      <c r="G71" s="40"/>
      <c r="H71" s="40"/>
      <c r="I71" s="71">
        <f>I66+I27+D9</f>
        <v>3600</v>
      </c>
      <c r="J71" s="40" t="s">
        <v>45</v>
      </c>
      <c r="K71" s="40"/>
      <c r="L71" s="40"/>
      <c r="M71" s="40"/>
      <c r="N71" s="178">
        <f>I71*D71</f>
        <v>1440</v>
      </c>
      <c r="O71" s="40" t="s">
        <v>173</v>
      </c>
      <c r="P71" s="40"/>
      <c r="Q71" s="40"/>
      <c r="S71" s="6"/>
      <c r="T71" s="6"/>
      <c r="U71" s="6"/>
      <c r="V71" s="6"/>
      <c r="W71" s="6"/>
      <c r="X71" s="6"/>
      <c r="Y71" s="6"/>
      <c r="Z71" s="14"/>
      <c r="AA71" s="10"/>
      <c r="AB71" s="6"/>
      <c r="AC71" s="6"/>
      <c r="AD71" s="6"/>
      <c r="AE71" s="6"/>
      <c r="AF71" s="6"/>
      <c r="AG71" s="6"/>
      <c r="AH71" s="6"/>
      <c r="AI71" s="6"/>
      <c r="AJ71" s="14"/>
      <c r="AK71" s="10"/>
      <c r="AL71" s="6"/>
      <c r="AM71" s="6"/>
      <c r="AN71" s="6"/>
      <c r="AO71" s="6"/>
      <c r="AP71" s="6"/>
      <c r="AQ71" s="6"/>
      <c r="AR71" s="6"/>
      <c r="AS71" s="6"/>
      <c r="AT71" s="14"/>
      <c r="AU71" s="47"/>
      <c r="AV71" s="50"/>
      <c r="AX71" s="147"/>
      <c r="AY71" s="43"/>
    </row>
    <row r="72" spans="1:51" ht="15" customHeight="1" x14ac:dyDescent="0.25">
      <c r="A72" s="40" t="s">
        <v>170</v>
      </c>
      <c r="B72" s="40"/>
      <c r="C72" s="117"/>
      <c r="D72" s="176">
        <v>1.33</v>
      </c>
      <c r="E72" s="115" t="s">
        <v>171</v>
      </c>
      <c r="F72" s="116"/>
      <c r="G72" s="40"/>
      <c r="H72" s="40"/>
      <c r="I72" s="104"/>
      <c r="J72" s="40"/>
      <c r="K72" s="40"/>
      <c r="L72" s="40"/>
      <c r="M72" s="40"/>
      <c r="N72" s="179">
        <f>IF(C63="CV", D72*D10, 0)</f>
        <v>0</v>
      </c>
      <c r="O72" s="40" t="s">
        <v>172</v>
      </c>
      <c r="P72" s="40"/>
      <c r="Q72" s="40"/>
      <c r="S72" s="6"/>
      <c r="T72" s="6"/>
      <c r="U72" s="6"/>
      <c r="V72" s="6"/>
      <c r="W72" s="6"/>
      <c r="X72" s="6"/>
      <c r="Y72" s="6"/>
      <c r="Z72" s="14"/>
      <c r="AA72" s="10"/>
      <c r="AB72" s="6"/>
      <c r="AC72" s="6"/>
      <c r="AD72" s="6"/>
      <c r="AE72" s="6"/>
      <c r="AF72" s="6"/>
      <c r="AG72" s="6"/>
      <c r="AH72" s="6"/>
      <c r="AI72" s="6"/>
      <c r="AJ72" s="14"/>
      <c r="AK72" s="10"/>
      <c r="AL72" s="6"/>
      <c r="AM72" s="6"/>
      <c r="AN72" s="6"/>
      <c r="AO72" s="6"/>
      <c r="AP72" s="6"/>
      <c r="AQ72" s="6"/>
      <c r="AR72" s="6"/>
      <c r="AS72" s="6"/>
      <c r="AT72" s="14"/>
      <c r="AU72" s="47"/>
      <c r="AV72" s="50"/>
      <c r="AX72" s="147"/>
      <c r="AY72" s="43"/>
    </row>
    <row r="73" spans="1:51" ht="15" customHeight="1" x14ac:dyDescent="0.25">
      <c r="A73" s="40" t="s">
        <v>200</v>
      </c>
      <c r="B73" s="40"/>
      <c r="C73" s="117"/>
      <c r="D73" s="176">
        <v>47.38</v>
      </c>
      <c r="E73" s="115" t="s">
        <v>201</v>
      </c>
      <c r="F73" s="116"/>
      <c r="G73" s="40"/>
      <c r="H73" s="40"/>
      <c r="I73" s="173">
        <f>(M49*3.6)/1000</f>
        <v>35.264930400000004</v>
      </c>
      <c r="J73" s="40"/>
      <c r="K73" s="40"/>
      <c r="L73" s="40"/>
      <c r="M73" s="40"/>
      <c r="N73" s="180">
        <f>IF(C63="Stadsverwarming",D73*I73,0)</f>
        <v>1670.8524023520004</v>
      </c>
      <c r="O73" s="40" t="s">
        <v>202</v>
      </c>
      <c r="P73" s="40"/>
      <c r="Q73" s="40"/>
      <c r="S73" s="6"/>
      <c r="T73" s="6"/>
      <c r="U73" s="6"/>
      <c r="V73" s="6"/>
      <c r="W73" s="6"/>
      <c r="X73" s="6"/>
      <c r="Y73" s="6"/>
      <c r="Z73" s="14"/>
      <c r="AA73" s="10"/>
      <c r="AB73" s="6"/>
      <c r="AC73" s="6"/>
      <c r="AD73" s="6"/>
      <c r="AE73" s="6"/>
      <c r="AF73" s="6"/>
      <c r="AG73" s="6"/>
      <c r="AH73" s="6"/>
      <c r="AI73" s="6"/>
      <c r="AJ73" s="14"/>
      <c r="AK73" s="10"/>
      <c r="AL73" s="6"/>
      <c r="AM73" s="6"/>
      <c r="AN73" s="6"/>
      <c r="AO73" s="6"/>
      <c r="AP73" s="6"/>
      <c r="AQ73" s="6"/>
      <c r="AR73" s="6"/>
      <c r="AS73" s="6"/>
      <c r="AT73" s="14"/>
      <c r="AU73" s="47">
        <v>0</v>
      </c>
      <c r="AV73" s="50">
        <v>0</v>
      </c>
      <c r="AW73" s="46">
        <v>1</v>
      </c>
      <c r="AX73" s="147">
        <f>(AU73-AV73)/AW73</f>
        <v>0</v>
      </c>
      <c r="AY73" s="43"/>
    </row>
    <row r="74" spans="1:51" ht="15" customHeight="1" thickBot="1" x14ac:dyDescent="0.3">
      <c r="A74" s="40" t="s">
        <v>207</v>
      </c>
      <c r="B74" s="40"/>
      <c r="C74" s="117"/>
      <c r="D74" s="176">
        <v>493</v>
      </c>
      <c r="E74" s="115" t="s">
        <v>204</v>
      </c>
      <c r="F74" s="116"/>
      <c r="G74" s="40" t="s">
        <v>236</v>
      </c>
      <c r="H74" s="40"/>
      <c r="I74" s="104"/>
      <c r="J74" s="40"/>
      <c r="K74" s="40"/>
      <c r="L74" s="40"/>
      <c r="M74" s="40"/>
      <c r="N74" s="181">
        <f>N71+N72+N73-D74+IF(C63="stadsverwarming",D75,0)</f>
        <v>3416.8524023520004</v>
      </c>
      <c r="O74" s="40" t="s">
        <v>174</v>
      </c>
      <c r="P74" s="40"/>
      <c r="Q74" s="40"/>
      <c r="S74" s="6"/>
      <c r="T74" s="6"/>
      <c r="U74" s="6"/>
      <c r="V74" s="6"/>
      <c r="W74" s="6"/>
      <c r="X74" s="6"/>
      <c r="Y74" s="6"/>
      <c r="Z74" s="14"/>
      <c r="AA74" s="10"/>
      <c r="AB74" s="6"/>
      <c r="AC74" s="6"/>
      <c r="AD74" s="6"/>
      <c r="AE74" s="6"/>
      <c r="AF74" s="6"/>
      <c r="AG74" s="6"/>
      <c r="AH74" s="6"/>
      <c r="AI74" s="6"/>
      <c r="AJ74" s="14"/>
      <c r="AK74" s="10"/>
      <c r="AL74" s="6"/>
      <c r="AM74" s="6"/>
      <c r="AN74" s="6"/>
      <c r="AO74" s="6"/>
      <c r="AP74" s="6"/>
      <c r="AQ74" s="6"/>
      <c r="AR74" s="6"/>
      <c r="AS74" s="6"/>
      <c r="AT74" s="14"/>
      <c r="AU74" s="47"/>
      <c r="AV74" s="50"/>
      <c r="AX74" s="147"/>
      <c r="AY74" s="43"/>
    </row>
    <row r="75" spans="1:51" ht="15" customHeight="1" thickBot="1" x14ac:dyDescent="0.3">
      <c r="A75" s="40" t="s">
        <v>203</v>
      </c>
      <c r="B75" s="40"/>
      <c r="C75" s="117"/>
      <c r="D75" s="177">
        <v>799</v>
      </c>
      <c r="E75" s="115" t="s">
        <v>205</v>
      </c>
      <c r="F75" s="116"/>
      <c r="G75" s="40" t="s">
        <v>211</v>
      </c>
      <c r="H75" s="40"/>
      <c r="I75" s="104"/>
      <c r="J75" s="40"/>
      <c r="K75" s="40"/>
      <c r="L75" s="40"/>
      <c r="M75" s="40"/>
      <c r="N75" s="174"/>
      <c r="O75" s="40"/>
      <c r="P75" s="40"/>
      <c r="Q75" s="40"/>
      <c r="S75" s="6"/>
      <c r="T75" s="6"/>
      <c r="U75" s="6"/>
      <c r="V75" s="6"/>
      <c r="W75" s="6"/>
      <c r="X75" s="6"/>
      <c r="Y75" s="6"/>
      <c r="Z75" s="14"/>
      <c r="AA75" s="10"/>
      <c r="AB75" s="6"/>
      <c r="AC75" s="6"/>
      <c r="AD75" s="6"/>
      <c r="AE75" s="6"/>
      <c r="AF75" s="6"/>
      <c r="AG75" s="6"/>
      <c r="AH75" s="6"/>
      <c r="AI75" s="6"/>
      <c r="AJ75" s="14"/>
      <c r="AK75" s="10"/>
      <c r="AL75" s="6"/>
      <c r="AM75" s="6"/>
      <c r="AN75" s="6"/>
      <c r="AO75" s="6"/>
      <c r="AP75" s="6"/>
      <c r="AQ75" s="6"/>
      <c r="AR75" s="6"/>
      <c r="AS75" s="6"/>
      <c r="AT75" s="14"/>
      <c r="AU75" s="47"/>
      <c r="AV75" s="50"/>
      <c r="AX75" s="147"/>
      <c r="AY75" s="43"/>
    </row>
    <row r="76" spans="1:51" ht="15" customHeight="1" x14ac:dyDescent="0.25">
      <c r="A76" s="40"/>
      <c r="B76" s="40"/>
      <c r="C76" s="117"/>
      <c r="D76" s="115"/>
      <c r="E76" s="115"/>
      <c r="F76" s="116"/>
      <c r="G76" s="40"/>
      <c r="H76" s="40"/>
      <c r="I76" s="40"/>
      <c r="J76" s="40"/>
      <c r="K76" s="40"/>
      <c r="L76" s="40"/>
      <c r="M76" s="40"/>
      <c r="N76" s="40"/>
      <c r="O76" s="40"/>
      <c r="P76" s="40"/>
      <c r="Q76" s="40"/>
      <c r="S76" s="6"/>
      <c r="T76" s="6"/>
      <c r="U76" s="6"/>
      <c r="V76" s="6"/>
      <c r="W76" s="6"/>
      <c r="X76" s="6"/>
      <c r="Y76" s="6"/>
      <c r="Z76" s="14"/>
      <c r="AA76" s="10"/>
      <c r="AB76" s="6"/>
      <c r="AC76" s="6"/>
      <c r="AD76" s="6"/>
      <c r="AE76" s="6"/>
      <c r="AF76" s="6"/>
      <c r="AG76" s="6"/>
      <c r="AH76" s="6"/>
      <c r="AI76" s="6"/>
      <c r="AJ76" s="14"/>
      <c r="AK76" s="10"/>
      <c r="AL76" s="6"/>
      <c r="AM76" s="6"/>
      <c r="AN76" s="6"/>
      <c r="AO76" s="6"/>
      <c r="AP76" s="6"/>
      <c r="AQ76" s="6"/>
      <c r="AR76" s="6"/>
      <c r="AS76" s="6"/>
      <c r="AT76" s="14"/>
      <c r="AU76" s="47"/>
      <c r="AV76" s="50"/>
      <c r="AX76" s="147"/>
      <c r="AY76" s="43"/>
    </row>
    <row r="77" spans="1:51" ht="10.5" customHeight="1" thickBot="1" x14ac:dyDescent="0.3">
      <c r="C77" s="109"/>
      <c r="D77" s="57"/>
      <c r="E77" s="57"/>
      <c r="F77" s="110"/>
      <c r="S77" s="6"/>
      <c r="T77" s="6"/>
      <c r="U77" s="6"/>
      <c r="V77" s="6"/>
      <c r="W77" s="6"/>
      <c r="X77" s="6"/>
      <c r="Y77" s="6"/>
      <c r="Z77" s="14"/>
      <c r="AA77" s="10"/>
      <c r="AB77" s="6"/>
      <c r="AC77" s="6"/>
      <c r="AD77" s="6"/>
      <c r="AE77" s="6"/>
      <c r="AF77" s="6"/>
      <c r="AG77" s="6"/>
      <c r="AH77" s="6"/>
      <c r="AI77" s="6"/>
      <c r="AJ77" s="14"/>
      <c r="AK77" s="10"/>
      <c r="AL77" s="6"/>
      <c r="AM77" s="6"/>
      <c r="AN77" s="6"/>
      <c r="AO77" s="6"/>
      <c r="AP77" s="6"/>
      <c r="AQ77" s="6"/>
      <c r="AR77" s="6"/>
      <c r="AS77" s="6"/>
      <c r="AT77" s="14"/>
      <c r="AU77" s="47"/>
      <c r="AV77" s="50"/>
      <c r="AX77" s="147"/>
      <c r="AY77" s="43"/>
    </row>
    <row r="78" spans="1:51" ht="15" customHeight="1" thickTop="1" x14ac:dyDescent="0.3">
      <c r="A78" s="69" t="s">
        <v>66</v>
      </c>
      <c r="B78" s="69"/>
      <c r="C78" s="103"/>
      <c r="D78" s="35"/>
      <c r="E78" s="35"/>
      <c r="F78" s="111"/>
      <c r="G78" s="36"/>
      <c r="H78" s="36"/>
      <c r="I78" s="36"/>
      <c r="J78" s="36"/>
      <c r="K78" s="36"/>
      <c r="M78" s="219" t="s">
        <v>186</v>
      </c>
      <c r="N78" s="220"/>
      <c r="O78" s="220"/>
      <c r="P78" s="220"/>
      <c r="Q78" s="221"/>
      <c r="S78" s="6"/>
      <c r="T78" s="6"/>
      <c r="U78" s="6"/>
      <c r="V78" s="6"/>
      <c r="W78" s="6"/>
      <c r="X78" s="6"/>
      <c r="Y78" s="6"/>
      <c r="Z78" s="14"/>
      <c r="AA78" s="10"/>
      <c r="AB78" s="6"/>
      <c r="AC78" s="6"/>
      <c r="AD78" s="6"/>
      <c r="AE78" s="6"/>
      <c r="AF78" s="6"/>
      <c r="AG78" s="6"/>
      <c r="AH78" s="6"/>
      <c r="AI78" s="6"/>
      <c r="AJ78" s="14"/>
      <c r="AK78" s="10"/>
      <c r="AL78" s="6"/>
      <c r="AM78" s="6"/>
      <c r="AN78" s="6"/>
      <c r="AO78" s="6"/>
      <c r="AP78" s="6"/>
      <c r="AQ78" s="6"/>
      <c r="AR78" s="6"/>
      <c r="AS78" s="6"/>
      <c r="AT78" s="14"/>
      <c r="AU78" s="47"/>
      <c r="AV78" s="50"/>
      <c r="AX78" s="147"/>
      <c r="AY78" s="43"/>
    </row>
    <row r="79" spans="1:51" ht="15" customHeight="1" thickBot="1" x14ac:dyDescent="0.3">
      <c r="A79" s="39"/>
      <c r="B79" s="39"/>
      <c r="C79" s="113"/>
      <c r="D79" s="35"/>
      <c r="E79" s="35"/>
      <c r="F79" s="111"/>
      <c r="G79" s="36"/>
      <c r="H79" s="36"/>
      <c r="I79" s="36"/>
      <c r="J79" s="36"/>
      <c r="K79" s="36"/>
      <c r="M79" s="158"/>
      <c r="N79" s="155"/>
      <c r="O79" s="155"/>
      <c r="P79" s="155"/>
      <c r="Q79" s="159"/>
      <c r="S79" s="6"/>
      <c r="T79" s="6"/>
      <c r="U79" s="6"/>
      <c r="V79" s="6"/>
      <c r="W79" s="6"/>
      <c r="X79" s="6"/>
      <c r="Y79" s="6"/>
      <c r="Z79" s="14"/>
      <c r="AA79" s="10"/>
      <c r="AB79" s="6"/>
      <c r="AC79" s="6"/>
      <c r="AD79" s="6"/>
      <c r="AE79" s="6"/>
      <c r="AF79" s="6"/>
      <c r="AG79" s="6"/>
      <c r="AH79" s="6"/>
      <c r="AI79" s="6"/>
      <c r="AJ79" s="14"/>
      <c r="AK79" s="10"/>
      <c r="AL79" s="6"/>
      <c r="AM79" s="6"/>
      <c r="AN79" s="6"/>
      <c r="AO79" s="6"/>
      <c r="AP79" s="6"/>
      <c r="AQ79" s="6"/>
      <c r="AR79" s="6"/>
      <c r="AS79" s="6"/>
      <c r="AT79" s="14"/>
      <c r="AU79" s="47"/>
      <c r="AV79" s="50"/>
      <c r="AX79" s="147"/>
      <c r="AY79" s="43"/>
    </row>
    <row r="80" spans="1:51" ht="15" customHeight="1" thickBot="1" x14ac:dyDescent="0.3">
      <c r="A80" s="39" t="s">
        <v>160</v>
      </c>
      <c r="B80" s="39"/>
      <c r="C80" s="113"/>
      <c r="D80" s="171">
        <v>0.9</v>
      </c>
      <c r="E80" s="35" t="s">
        <v>127</v>
      </c>
      <c r="F80" s="111"/>
      <c r="G80" s="36"/>
      <c r="H80" s="36"/>
      <c r="I80" s="77">
        <f>(D82*D80*0.925*E82)+(D83*D80*0.975*E83)+(D84*D80*0.65*E84)+(D85*D80*0.65*E85)</f>
        <v>0</v>
      </c>
      <c r="J80" s="36" t="s">
        <v>45</v>
      </c>
      <c r="K80" s="36"/>
      <c r="M80" s="158"/>
      <c r="N80" s="182">
        <v>0.3</v>
      </c>
      <c r="O80" s="156" t="s">
        <v>183</v>
      </c>
      <c r="P80" s="155"/>
      <c r="Q80" s="159"/>
      <c r="S80" s="6"/>
      <c r="T80" s="6"/>
      <c r="U80" s="6"/>
      <c r="V80" s="6"/>
      <c r="W80" s="6"/>
      <c r="X80" s="6"/>
      <c r="Y80" s="6"/>
      <c r="Z80" s="14"/>
      <c r="AA80" s="10"/>
      <c r="AB80" s="6"/>
      <c r="AC80" s="6"/>
      <c r="AD80" s="6"/>
      <c r="AE80" s="6"/>
      <c r="AF80" s="6"/>
      <c r="AG80" s="6"/>
      <c r="AH80" s="6"/>
      <c r="AI80" s="6"/>
      <c r="AJ80" s="14"/>
      <c r="AK80" s="10"/>
      <c r="AL80" s="6"/>
      <c r="AM80" s="6"/>
      <c r="AN80" s="6"/>
      <c r="AO80" s="6"/>
      <c r="AP80" s="6"/>
      <c r="AQ80" s="6"/>
      <c r="AR80" s="6"/>
      <c r="AS80" s="6"/>
      <c r="AT80" s="14"/>
      <c r="AU80" s="47">
        <v>0</v>
      </c>
      <c r="AV80" s="50">
        <v>0</v>
      </c>
      <c r="AW80" s="46">
        <v>25</v>
      </c>
      <c r="AX80" s="147">
        <f>(AU80-AV80)/AW80</f>
        <v>0</v>
      </c>
      <c r="AY80" s="43"/>
    </row>
    <row r="81" spans="1:51" ht="15" customHeight="1" thickBot="1" x14ac:dyDescent="0.3">
      <c r="A81" s="76" t="s">
        <v>161</v>
      </c>
      <c r="B81" s="76"/>
      <c r="C81" s="118"/>
      <c r="D81" s="132" t="s">
        <v>162</v>
      </c>
      <c r="E81" s="132" t="s">
        <v>141</v>
      </c>
      <c r="F81" s="111"/>
      <c r="G81" s="36"/>
      <c r="H81" s="36"/>
      <c r="I81" s="75"/>
      <c r="J81" s="36"/>
      <c r="K81" s="36"/>
      <c r="M81" s="158"/>
      <c r="N81" s="183">
        <v>0.09</v>
      </c>
      <c r="O81" s="156" t="s">
        <v>185</v>
      </c>
      <c r="P81" s="155"/>
      <c r="Q81" s="159"/>
      <c r="S81" s="6"/>
      <c r="T81" s="6"/>
      <c r="U81" s="6"/>
      <c r="V81" s="6"/>
      <c r="W81" s="6"/>
      <c r="X81" s="6"/>
      <c r="Y81" s="6"/>
      <c r="Z81" s="14"/>
      <c r="AA81" s="10"/>
      <c r="AB81" s="6"/>
      <c r="AC81" s="6"/>
      <c r="AD81" s="6"/>
      <c r="AE81" s="6"/>
      <c r="AF81" s="6"/>
      <c r="AG81" s="6"/>
      <c r="AH81" s="6"/>
      <c r="AI81" s="6"/>
      <c r="AJ81" s="14"/>
      <c r="AK81" s="10"/>
      <c r="AL81" s="6"/>
      <c r="AM81" s="6"/>
      <c r="AN81" s="6"/>
      <c r="AO81" s="6"/>
      <c r="AP81" s="6"/>
      <c r="AQ81" s="6"/>
      <c r="AR81" s="6"/>
      <c r="AS81" s="6"/>
      <c r="AT81" s="14"/>
      <c r="AU81" s="47"/>
      <c r="AV81" s="50"/>
      <c r="AX81" s="147"/>
      <c r="AY81" s="43"/>
    </row>
    <row r="82" spans="1:51" ht="15" customHeight="1" thickBot="1" x14ac:dyDescent="0.3">
      <c r="A82" s="39" t="s">
        <v>137</v>
      </c>
      <c r="B82" s="39"/>
      <c r="C82" s="113"/>
      <c r="D82" s="126">
        <v>0</v>
      </c>
      <c r="E82" s="127">
        <v>375</v>
      </c>
      <c r="F82" s="111"/>
      <c r="G82" s="36"/>
      <c r="H82" s="36"/>
      <c r="I82" s="75"/>
      <c r="J82" s="36"/>
      <c r="K82" s="36"/>
      <c r="M82" s="158"/>
      <c r="N82" s="184">
        <f>'PV panelen'!E40</f>
        <v>1440</v>
      </c>
      <c r="O82" s="155" t="s">
        <v>62</v>
      </c>
      <c r="P82" s="155"/>
      <c r="Q82" s="159"/>
      <c r="S82" s="6"/>
      <c r="T82" s="6"/>
      <c r="U82" s="6"/>
      <c r="V82" s="6"/>
      <c r="W82" s="6"/>
      <c r="X82" s="6"/>
      <c r="Y82" s="6"/>
      <c r="Z82" s="14"/>
      <c r="AA82" s="10"/>
      <c r="AB82" s="6"/>
      <c r="AC82" s="6"/>
      <c r="AD82" s="6"/>
      <c r="AE82" s="6"/>
      <c r="AF82" s="6"/>
      <c r="AG82" s="6"/>
      <c r="AH82" s="6"/>
      <c r="AI82" s="6"/>
      <c r="AJ82" s="14"/>
      <c r="AK82" s="10"/>
      <c r="AL82" s="6"/>
      <c r="AM82" s="6"/>
      <c r="AN82" s="6"/>
      <c r="AO82" s="6"/>
      <c r="AP82" s="6"/>
      <c r="AQ82" s="6"/>
      <c r="AR82" s="6"/>
      <c r="AS82" s="6"/>
      <c r="AT82" s="14"/>
      <c r="AU82" s="47"/>
      <c r="AV82" s="50"/>
      <c r="AX82" s="147"/>
      <c r="AY82" s="43"/>
    </row>
    <row r="83" spans="1:51" ht="15" customHeight="1" x14ac:dyDescent="0.25">
      <c r="A83" s="39" t="s">
        <v>139</v>
      </c>
      <c r="B83" s="39"/>
      <c r="C83" s="113"/>
      <c r="D83" s="128">
        <v>0</v>
      </c>
      <c r="E83" s="129">
        <v>375</v>
      </c>
      <c r="F83" s="111"/>
      <c r="G83" s="36"/>
      <c r="H83" s="36"/>
      <c r="I83" s="75"/>
      <c r="J83" s="36"/>
      <c r="K83" s="36"/>
      <c r="M83" s="158"/>
      <c r="N83" s="157">
        <f>(N71-N82)</f>
        <v>0</v>
      </c>
      <c r="O83" s="155" t="s">
        <v>167</v>
      </c>
      <c r="P83" s="155"/>
      <c r="Q83" s="159"/>
      <c r="S83" s="6"/>
      <c r="T83" s="6"/>
      <c r="U83" s="6"/>
      <c r="V83" s="6"/>
      <c r="W83" s="6"/>
      <c r="X83" s="6"/>
      <c r="Y83" s="6"/>
      <c r="Z83" s="14"/>
      <c r="AA83" s="10"/>
      <c r="AB83" s="6"/>
      <c r="AC83" s="6"/>
      <c r="AD83" s="6"/>
      <c r="AE83" s="6"/>
      <c r="AF83" s="6"/>
      <c r="AG83" s="6"/>
      <c r="AH83" s="6"/>
      <c r="AI83" s="6"/>
      <c r="AJ83" s="14"/>
      <c r="AK83" s="10"/>
      <c r="AL83" s="6"/>
      <c r="AM83" s="6"/>
      <c r="AN83" s="6"/>
      <c r="AO83" s="6"/>
      <c r="AP83" s="6"/>
      <c r="AQ83" s="6"/>
      <c r="AR83" s="6"/>
      <c r="AS83" s="6"/>
      <c r="AT83" s="14"/>
      <c r="AU83" s="47"/>
      <c r="AV83" s="50"/>
      <c r="AX83" s="147"/>
      <c r="AY83" s="43"/>
    </row>
    <row r="84" spans="1:51" ht="15" customHeight="1" x14ac:dyDescent="0.25">
      <c r="A84" s="39" t="s">
        <v>140</v>
      </c>
      <c r="B84" s="39"/>
      <c r="C84" s="113"/>
      <c r="D84" s="128">
        <v>0</v>
      </c>
      <c r="E84" s="129">
        <v>375</v>
      </c>
      <c r="F84" s="111"/>
      <c r="G84" s="36"/>
      <c r="H84" s="36"/>
      <c r="I84" s="75"/>
      <c r="J84" s="36"/>
      <c r="K84" s="36"/>
      <c r="M84" s="158"/>
      <c r="N84" s="170"/>
      <c r="O84" s="155"/>
      <c r="P84" s="155"/>
      <c r="Q84" s="229" t="s">
        <v>102</v>
      </c>
      <c r="S84" s="6"/>
      <c r="T84" s="6"/>
      <c r="U84" s="6"/>
      <c r="V84" s="6"/>
      <c r="W84" s="6"/>
      <c r="X84" s="6"/>
      <c r="Y84" s="6"/>
      <c r="Z84" s="14"/>
      <c r="AA84" s="10"/>
      <c r="AB84" s="6"/>
      <c r="AC84" s="6"/>
      <c r="AD84" s="6"/>
      <c r="AE84" s="6"/>
      <c r="AF84" s="6"/>
      <c r="AG84" s="6"/>
      <c r="AH84" s="6"/>
      <c r="AI84" s="6"/>
      <c r="AJ84" s="14"/>
      <c r="AK84" s="10"/>
      <c r="AL84" s="6"/>
      <c r="AM84" s="6"/>
      <c r="AN84" s="6"/>
      <c r="AO84" s="6"/>
      <c r="AP84" s="6"/>
      <c r="AQ84" s="6"/>
      <c r="AR84" s="6"/>
      <c r="AS84" s="6"/>
      <c r="AT84" s="14"/>
      <c r="AU84" s="47"/>
      <c r="AV84" s="50"/>
      <c r="AX84" s="147"/>
      <c r="AY84" s="43"/>
    </row>
    <row r="85" spans="1:51" ht="15" customHeight="1" thickBot="1" x14ac:dyDescent="0.4">
      <c r="A85" s="39" t="s">
        <v>138</v>
      </c>
      <c r="B85" s="39"/>
      <c r="C85" s="113"/>
      <c r="D85" s="130">
        <v>0</v>
      </c>
      <c r="E85" s="131">
        <v>375</v>
      </c>
      <c r="F85" s="111"/>
      <c r="G85" s="36"/>
      <c r="H85" s="36"/>
      <c r="I85" s="36"/>
      <c r="J85" s="36"/>
      <c r="K85" s="36"/>
      <c r="M85" s="158"/>
      <c r="N85" s="172"/>
      <c r="O85" s="155"/>
      <c r="P85" s="155"/>
      <c r="Q85" s="229"/>
      <c r="R85" s="42"/>
      <c r="S85" s="6"/>
      <c r="T85" s="6"/>
      <c r="U85" s="6"/>
      <c r="V85" s="6"/>
      <c r="W85" s="6"/>
      <c r="X85" s="6"/>
      <c r="Y85" s="6"/>
      <c r="Z85" s="14"/>
      <c r="AA85" s="10"/>
      <c r="AB85" s="6"/>
      <c r="AC85" s="6"/>
      <c r="AD85" s="6"/>
      <c r="AE85" s="6"/>
      <c r="AF85" s="6"/>
      <c r="AG85" s="6"/>
      <c r="AH85" s="6"/>
      <c r="AI85" s="6"/>
      <c r="AJ85" s="14"/>
      <c r="AK85" s="10"/>
      <c r="AL85" s="6"/>
      <c r="AM85" s="6"/>
      <c r="AN85" s="6"/>
      <c r="AO85" s="6"/>
      <c r="AP85" s="6"/>
      <c r="AQ85" s="6"/>
      <c r="AR85" s="6"/>
      <c r="AS85" s="6"/>
      <c r="AT85" s="14"/>
      <c r="AU85" s="224">
        <f>SUM(AU3:AU83)</f>
        <v>0</v>
      </c>
      <c r="AV85" s="225">
        <f>SUM(AV3:AV83)</f>
        <v>0</v>
      </c>
      <c r="AW85" s="143"/>
      <c r="AX85" s="225">
        <f>SUM(AX3:AX83)</f>
        <v>0</v>
      </c>
      <c r="AY85" s="43"/>
    </row>
    <row r="86" spans="1:51" ht="15" customHeight="1" x14ac:dyDescent="0.35">
      <c r="A86" s="36"/>
      <c r="B86" s="36"/>
      <c r="C86" s="101"/>
      <c r="D86" s="36"/>
      <c r="E86" s="36"/>
      <c r="F86" s="100"/>
      <c r="G86" s="36"/>
      <c r="H86" s="36"/>
      <c r="I86" s="36"/>
      <c r="J86" s="36"/>
      <c r="K86" s="36"/>
      <c r="M86" s="158"/>
      <c r="N86" s="155"/>
      <c r="O86" s="155"/>
      <c r="P86" s="155"/>
      <c r="Q86" s="159"/>
      <c r="S86" s="6"/>
      <c r="T86" s="6"/>
      <c r="U86" s="6"/>
      <c r="V86" s="6"/>
      <c r="W86" s="6"/>
      <c r="X86" s="6"/>
      <c r="Y86" s="6"/>
      <c r="Z86" s="14"/>
      <c r="AA86" s="10"/>
      <c r="AB86" s="6"/>
      <c r="AC86" s="6"/>
      <c r="AD86" s="6"/>
      <c r="AE86" s="6"/>
      <c r="AF86" s="6"/>
      <c r="AG86" s="6"/>
      <c r="AH86" s="6"/>
      <c r="AI86" s="6"/>
      <c r="AJ86" s="14"/>
      <c r="AK86" s="10"/>
      <c r="AL86" s="6"/>
      <c r="AM86" s="6"/>
      <c r="AN86" s="6"/>
      <c r="AO86" s="6"/>
      <c r="AP86" s="6"/>
      <c r="AQ86" s="6"/>
      <c r="AR86" s="6"/>
      <c r="AS86" s="6"/>
      <c r="AT86" s="14"/>
      <c r="AU86" s="224"/>
      <c r="AV86" s="225"/>
      <c r="AW86" s="144"/>
      <c r="AX86" s="225"/>
    </row>
    <row r="87" spans="1:51" ht="18.399999999999999" customHeight="1" thickBot="1" x14ac:dyDescent="0.35">
      <c r="C87" s="216" t="s">
        <v>169</v>
      </c>
      <c r="D87" s="217"/>
      <c r="E87" s="217"/>
      <c r="F87" s="218"/>
      <c r="M87" s="216" t="s">
        <v>169</v>
      </c>
      <c r="N87" s="217"/>
      <c r="O87" s="217"/>
      <c r="P87" s="217"/>
      <c r="Q87" s="218"/>
      <c r="AU87" s="139"/>
      <c r="AV87" s="57"/>
      <c r="AW87" s="57"/>
    </row>
    <row r="88" spans="1:51" s="42" customFormat="1" ht="17.25" customHeight="1" thickTop="1" x14ac:dyDescent="0.25">
      <c r="R88" s="43"/>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139"/>
      <c r="AV88" s="137"/>
      <c r="AW88" s="57"/>
      <c r="AX88" s="43"/>
      <c r="AY88" s="43"/>
    </row>
    <row r="89" spans="1:51" ht="15" hidden="1" customHeight="1" x14ac:dyDescent="0.25">
      <c r="P89" s="70"/>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137"/>
      <c r="AV89" s="137"/>
      <c r="AW89" s="57"/>
      <c r="AX89" s="43"/>
      <c r="AY89" s="43"/>
    </row>
    <row r="90" spans="1:51" ht="15" hidden="1" customHeight="1" x14ac:dyDescent="0.25">
      <c r="M90" s="70"/>
      <c r="N90" s="70"/>
      <c r="AU90" s="137"/>
      <c r="AV90" s="137"/>
      <c r="AW90" s="57"/>
      <c r="AX90" s="43"/>
      <c r="AY90" s="43"/>
    </row>
    <row r="91" spans="1:51" ht="15" hidden="1" customHeight="1" x14ac:dyDescent="0.25">
      <c r="N91" s="154"/>
      <c r="AU91" s="137"/>
      <c r="AV91" s="137"/>
      <c r="AW91" s="137"/>
      <c r="AX91" s="43"/>
      <c r="AY91" s="43"/>
    </row>
    <row r="92" spans="1:51" ht="15" hidden="1" customHeight="1" x14ac:dyDescent="0.25">
      <c r="M92" s="70"/>
      <c r="N92" s="43"/>
      <c r="P92" s="43"/>
      <c r="AU92" s="137"/>
      <c r="AV92" s="137"/>
      <c r="AW92" s="137"/>
      <c r="AX92" s="43"/>
      <c r="AY92" s="43"/>
    </row>
    <row r="93" spans="1:51" ht="15" hidden="1" customHeight="1" x14ac:dyDescent="0.25">
      <c r="P93" s="43"/>
      <c r="AU93" s="137"/>
      <c r="AV93" s="137"/>
      <c r="AW93" s="137"/>
      <c r="AX93" s="43"/>
      <c r="AY93" s="43"/>
    </row>
    <row r="94" spans="1:51" ht="15" hidden="1" customHeight="1" x14ac:dyDescent="0.25">
      <c r="AU94" s="139"/>
      <c r="AV94" s="57"/>
      <c r="AW94" s="57"/>
    </row>
    <row r="95" spans="1:51" ht="15" hidden="1" customHeight="1" x14ac:dyDescent="0.25">
      <c r="AU95" s="139"/>
      <c r="AV95" s="57"/>
      <c r="AW95" s="57"/>
    </row>
    <row r="96" spans="1:51" ht="15" hidden="1" customHeight="1" x14ac:dyDescent="0.25">
      <c r="AU96" s="139"/>
      <c r="AV96" s="57"/>
      <c r="AW96" s="57"/>
    </row>
    <row r="97" spans="8:49" ht="15" hidden="1" customHeight="1" x14ac:dyDescent="0.25">
      <c r="H97" s="78"/>
      <c r="AU97" s="139"/>
      <c r="AV97" s="57"/>
      <c r="AW97" s="57"/>
    </row>
    <row r="98" spans="8:49" ht="15" hidden="1" customHeight="1" x14ac:dyDescent="0.25">
      <c r="AU98" s="139"/>
      <c r="AV98" s="57"/>
      <c r="AW98" s="57"/>
    </row>
    <row r="99" spans="8:49" ht="15" hidden="1" customHeight="1" x14ac:dyDescent="0.25">
      <c r="AU99" s="139"/>
      <c r="AV99" s="57"/>
      <c r="AW99" s="57"/>
    </row>
    <row r="100" spans="8:49" ht="15" hidden="1" customHeight="1" x14ac:dyDescent="0.25">
      <c r="AU100" s="139"/>
      <c r="AV100" s="57"/>
      <c r="AW100" s="57"/>
    </row>
    <row r="101" spans="8:49" ht="15" hidden="1" customHeight="1" x14ac:dyDescent="0.25">
      <c r="AU101" s="139"/>
      <c r="AV101" s="57"/>
      <c r="AW101" s="57"/>
    </row>
    <row r="102" spans="8:49" ht="15" hidden="1" customHeight="1" x14ac:dyDescent="0.25">
      <c r="AU102" s="139"/>
      <c r="AV102" s="57"/>
      <c r="AW102" s="57"/>
    </row>
    <row r="103" spans="8:49" ht="15" hidden="1" customHeight="1" x14ac:dyDescent="0.25">
      <c r="AU103" s="139"/>
      <c r="AV103" s="57"/>
      <c r="AW103" s="57"/>
    </row>
    <row r="104" spans="8:49" ht="15" hidden="1" customHeight="1" x14ac:dyDescent="0.25">
      <c r="AU104" s="139"/>
      <c r="AV104" s="57"/>
      <c r="AW104" s="57"/>
    </row>
    <row r="105" spans="8:49" ht="15" hidden="1" customHeight="1" x14ac:dyDescent="0.25">
      <c r="AU105" s="139"/>
      <c r="AV105" s="57"/>
      <c r="AW105" s="57"/>
    </row>
    <row r="106" spans="8:49" ht="15" hidden="1" customHeight="1" x14ac:dyDescent="0.25">
      <c r="AU106" s="139"/>
      <c r="AV106" s="57"/>
      <c r="AW106" s="57"/>
    </row>
    <row r="107" spans="8:49" ht="15" hidden="1" customHeight="1" x14ac:dyDescent="0.25">
      <c r="AU107" s="139"/>
      <c r="AV107" s="57"/>
      <c r="AW107" s="57"/>
    </row>
    <row r="108" spans="8:49" ht="15" hidden="1" customHeight="1" x14ac:dyDescent="0.25">
      <c r="AU108" s="139"/>
      <c r="AV108" s="57"/>
      <c r="AW108" s="57"/>
    </row>
    <row r="109" spans="8:49" ht="15" hidden="1" customHeight="1" x14ac:dyDescent="0.25">
      <c r="AU109" s="139"/>
      <c r="AV109" s="57"/>
      <c r="AW109" s="57"/>
    </row>
    <row r="110" spans="8:49" ht="15" hidden="1" customHeight="1" x14ac:dyDescent="0.25">
      <c r="AU110" s="139"/>
      <c r="AV110" s="57"/>
      <c r="AW110" s="57"/>
    </row>
    <row r="111" spans="8:49" ht="15" hidden="1" customHeight="1" x14ac:dyDescent="0.25">
      <c r="AU111" s="139"/>
      <c r="AV111" s="57"/>
      <c r="AW111" s="57"/>
    </row>
    <row r="112" spans="8:49" ht="15" hidden="1" customHeight="1" x14ac:dyDescent="0.25">
      <c r="AU112" s="139"/>
      <c r="AV112" s="57"/>
      <c r="AW112" s="57"/>
    </row>
    <row r="113" spans="47:49" ht="15" hidden="1" customHeight="1" x14ac:dyDescent="0.25">
      <c r="AU113" s="139"/>
      <c r="AV113" s="57"/>
      <c r="AW113" s="57"/>
    </row>
    <row r="114" spans="47:49" ht="15" hidden="1" customHeight="1" x14ac:dyDescent="0.25">
      <c r="AU114" s="139"/>
      <c r="AV114" s="57"/>
      <c r="AW114" s="57"/>
    </row>
    <row r="115" spans="47:49" ht="15" hidden="1" customHeight="1" x14ac:dyDescent="0.25">
      <c r="AU115" s="139"/>
      <c r="AV115" s="57"/>
      <c r="AW115" s="57"/>
    </row>
    <row r="116" spans="47:49" ht="15" hidden="1" customHeight="1" x14ac:dyDescent="0.25">
      <c r="AU116" s="139"/>
      <c r="AV116" s="57"/>
      <c r="AW116" s="57"/>
    </row>
    <row r="117" spans="47:49" ht="15" hidden="1" customHeight="1" x14ac:dyDescent="0.25">
      <c r="AU117" s="139"/>
      <c r="AV117" s="57"/>
      <c r="AW117" s="57"/>
    </row>
    <row r="118" spans="47:49" ht="15" hidden="1" customHeight="1" x14ac:dyDescent="0.25">
      <c r="AU118" s="139"/>
      <c r="AV118" s="57"/>
      <c r="AW118" s="57"/>
    </row>
    <row r="119" spans="47:49" ht="15" hidden="1" customHeight="1" x14ac:dyDescent="0.25">
      <c r="AU119" s="139"/>
      <c r="AV119" s="57"/>
      <c r="AW119" s="57"/>
    </row>
    <row r="120" spans="47:49" ht="15" hidden="1" customHeight="1" x14ac:dyDescent="0.25">
      <c r="AU120" s="139"/>
      <c r="AV120" s="57"/>
      <c r="AW120" s="57"/>
    </row>
    <row r="121" spans="47:49" ht="15" hidden="1" customHeight="1" x14ac:dyDescent="0.25">
      <c r="AU121" s="139"/>
      <c r="AV121" s="57"/>
      <c r="AW121" s="57"/>
    </row>
    <row r="122" spans="47:49" ht="15" hidden="1" customHeight="1" x14ac:dyDescent="0.25">
      <c r="AU122" s="139"/>
      <c r="AV122" s="57"/>
      <c r="AW122" s="57"/>
    </row>
    <row r="123" spans="47:49" ht="15" hidden="1" customHeight="1" x14ac:dyDescent="0.25">
      <c r="AU123" s="139"/>
      <c r="AV123" s="57"/>
      <c r="AW123" s="57"/>
    </row>
    <row r="124" spans="47:49" ht="15" hidden="1" customHeight="1" x14ac:dyDescent="0.25">
      <c r="AU124" s="139"/>
      <c r="AV124" s="57"/>
      <c r="AW124" s="57"/>
    </row>
    <row r="125" spans="47:49" ht="15" hidden="1" customHeight="1" x14ac:dyDescent="0.25">
      <c r="AU125" s="139"/>
      <c r="AV125" s="57"/>
      <c r="AW125" s="57"/>
    </row>
    <row r="126" spans="47:49" ht="15" hidden="1" customHeight="1" x14ac:dyDescent="0.25">
      <c r="AU126" s="139"/>
      <c r="AV126" s="57"/>
      <c r="AW126" s="57"/>
    </row>
    <row r="127" spans="47:49" ht="15" hidden="1" customHeight="1" x14ac:dyDescent="0.25">
      <c r="AU127" s="139"/>
      <c r="AV127" s="57"/>
      <c r="AW127" s="57"/>
    </row>
    <row r="128" spans="47:49" ht="15" hidden="1" customHeight="1" x14ac:dyDescent="0.25">
      <c r="AU128" s="139"/>
      <c r="AV128" s="57"/>
      <c r="AW128" s="57"/>
    </row>
    <row r="129" spans="47:49" ht="15" hidden="1" customHeight="1" x14ac:dyDescent="0.25">
      <c r="AU129" s="139"/>
      <c r="AV129" s="57"/>
      <c r="AW129" s="57"/>
    </row>
    <row r="130" spans="47:49" ht="15" hidden="1" customHeight="1" x14ac:dyDescent="0.25">
      <c r="AU130" s="139"/>
      <c r="AV130" s="57"/>
      <c r="AW130" s="57"/>
    </row>
    <row r="131" spans="47:49" ht="15" hidden="1" customHeight="1" x14ac:dyDescent="0.25">
      <c r="AU131" s="139"/>
      <c r="AV131" s="57"/>
      <c r="AW131" s="57"/>
    </row>
    <row r="132" spans="47:49" ht="15" hidden="1" customHeight="1" x14ac:dyDescent="0.25">
      <c r="AU132" s="139"/>
      <c r="AV132" s="57"/>
      <c r="AW132" s="57"/>
    </row>
    <row r="133" spans="47:49" ht="15" hidden="1" customHeight="1" x14ac:dyDescent="0.25">
      <c r="AU133" s="139"/>
      <c r="AV133" s="57"/>
      <c r="AW133" s="57"/>
    </row>
    <row r="134" spans="47:49" ht="15" hidden="1" customHeight="1" x14ac:dyDescent="0.25">
      <c r="AU134" s="139"/>
      <c r="AV134" s="57"/>
      <c r="AW134" s="57"/>
    </row>
    <row r="135" spans="47:49" ht="15" hidden="1" customHeight="1" x14ac:dyDescent="0.25">
      <c r="AU135" s="139"/>
      <c r="AV135" s="57"/>
      <c r="AW135" s="57"/>
    </row>
    <row r="136" spans="47:49" ht="15" hidden="1" customHeight="1" x14ac:dyDescent="0.25">
      <c r="AU136" s="139"/>
      <c r="AV136" s="57"/>
      <c r="AW136" s="57"/>
    </row>
    <row r="137" spans="47:49" ht="15" hidden="1" customHeight="1" x14ac:dyDescent="0.25">
      <c r="AU137" s="139"/>
      <c r="AV137" s="57"/>
      <c r="AW137" s="57"/>
    </row>
    <row r="138" spans="47:49" ht="15" hidden="1" customHeight="1" x14ac:dyDescent="0.25">
      <c r="AU138" s="139"/>
      <c r="AV138" s="57"/>
      <c r="AW138" s="57"/>
    </row>
    <row r="139" spans="47:49" ht="15" hidden="1" customHeight="1" x14ac:dyDescent="0.25">
      <c r="AU139" s="139"/>
      <c r="AV139" s="57"/>
      <c r="AW139" s="57"/>
    </row>
    <row r="140" spans="47:49" ht="15" hidden="1" customHeight="1" x14ac:dyDescent="0.25">
      <c r="AU140" s="139"/>
      <c r="AV140" s="57"/>
      <c r="AW140" s="57"/>
    </row>
    <row r="141" spans="47:49" ht="15" hidden="1" customHeight="1" x14ac:dyDescent="0.25">
      <c r="AU141" s="139"/>
      <c r="AV141" s="57"/>
      <c r="AW141" s="57"/>
    </row>
    <row r="142" spans="47:49" ht="15" hidden="1" customHeight="1" x14ac:dyDescent="0.25">
      <c r="AU142" s="139"/>
      <c r="AV142" s="57"/>
      <c r="AW142" s="57"/>
    </row>
    <row r="143" spans="47:49" ht="15" hidden="1" customHeight="1" x14ac:dyDescent="0.25">
      <c r="AU143" s="139"/>
      <c r="AV143" s="57"/>
      <c r="AW143" s="57"/>
    </row>
    <row r="144" spans="47:49" ht="15" hidden="1" customHeight="1" x14ac:dyDescent="0.25">
      <c r="AU144" s="139"/>
      <c r="AV144" s="57"/>
      <c r="AW144" s="57"/>
    </row>
    <row r="145" spans="47:49" ht="15" hidden="1" customHeight="1" x14ac:dyDescent="0.25">
      <c r="AU145" s="139"/>
      <c r="AV145" s="57"/>
      <c r="AW145" s="57"/>
    </row>
    <row r="146" spans="47:49" ht="15" hidden="1" customHeight="1" x14ac:dyDescent="0.25">
      <c r="AU146" s="139"/>
      <c r="AV146" s="57"/>
      <c r="AW146" s="57"/>
    </row>
    <row r="147" spans="47:49" ht="15" hidden="1" customHeight="1" x14ac:dyDescent="0.25">
      <c r="AU147" s="139"/>
      <c r="AV147" s="57"/>
      <c r="AW147" s="57"/>
    </row>
    <row r="148" spans="47:49" ht="15" hidden="1" customHeight="1" x14ac:dyDescent="0.25">
      <c r="AU148" s="139"/>
      <c r="AV148" s="57"/>
      <c r="AW148" s="57"/>
    </row>
    <row r="149" spans="47:49" ht="15" hidden="1" customHeight="1" x14ac:dyDescent="0.25">
      <c r="AU149" s="139"/>
      <c r="AV149" s="57"/>
      <c r="AW149" s="57"/>
    </row>
    <row r="150" spans="47:49" ht="15" hidden="1" customHeight="1" x14ac:dyDescent="0.25">
      <c r="AU150" s="139"/>
      <c r="AV150" s="57"/>
      <c r="AW150" s="57"/>
    </row>
    <row r="151" spans="47:49" ht="15" hidden="1" customHeight="1" x14ac:dyDescent="0.25">
      <c r="AU151" s="139"/>
      <c r="AV151" s="57"/>
      <c r="AW151" s="57"/>
    </row>
    <row r="152" spans="47:49" ht="15" hidden="1" customHeight="1" x14ac:dyDescent="0.25">
      <c r="AU152" s="139"/>
      <c r="AV152" s="57"/>
      <c r="AW152" s="57"/>
    </row>
    <row r="153" spans="47:49" ht="15" hidden="1" customHeight="1" x14ac:dyDescent="0.25">
      <c r="AU153" s="139"/>
      <c r="AV153" s="57"/>
      <c r="AW153" s="57"/>
    </row>
    <row r="154" spans="47:49" ht="15" hidden="1" customHeight="1" x14ac:dyDescent="0.25">
      <c r="AU154" s="139"/>
      <c r="AV154" s="57"/>
      <c r="AW154" s="57"/>
    </row>
    <row r="155" spans="47:49" ht="15" hidden="1" customHeight="1" x14ac:dyDescent="0.25">
      <c r="AU155" s="139"/>
      <c r="AV155" s="57"/>
      <c r="AW155" s="57"/>
    </row>
    <row r="156" spans="47:49" ht="15" hidden="1" customHeight="1" x14ac:dyDescent="0.25">
      <c r="AU156" s="139"/>
      <c r="AV156" s="57"/>
      <c r="AW156" s="57"/>
    </row>
    <row r="157" spans="47:49" ht="15" hidden="1" customHeight="1" x14ac:dyDescent="0.25">
      <c r="AU157" s="139"/>
      <c r="AV157" s="57"/>
      <c r="AW157" s="57"/>
    </row>
    <row r="158" spans="47:49" ht="15" hidden="1" customHeight="1" x14ac:dyDescent="0.25">
      <c r="AU158" s="139"/>
      <c r="AV158" s="57"/>
      <c r="AW158" s="57"/>
    </row>
    <row r="159" spans="47:49" ht="15" hidden="1" customHeight="1" x14ac:dyDescent="0.25">
      <c r="AU159" s="139"/>
      <c r="AV159" s="57"/>
      <c r="AW159" s="57"/>
    </row>
    <row r="160" spans="47:49" ht="15" hidden="1" customHeight="1" x14ac:dyDescent="0.25">
      <c r="AU160" s="139"/>
      <c r="AV160" s="57"/>
      <c r="AW160" s="57"/>
    </row>
    <row r="161" spans="47:49" ht="15" hidden="1" customHeight="1" x14ac:dyDescent="0.25">
      <c r="AU161" s="139"/>
      <c r="AV161" s="57"/>
      <c r="AW161" s="57"/>
    </row>
    <row r="162" spans="47:49" ht="15" hidden="1" customHeight="1" x14ac:dyDescent="0.25">
      <c r="AU162" s="139"/>
      <c r="AV162" s="57"/>
      <c r="AW162" s="57"/>
    </row>
    <row r="163" spans="47:49" ht="15" hidden="1" customHeight="1" x14ac:dyDescent="0.25">
      <c r="AU163" s="139"/>
      <c r="AV163" s="57"/>
      <c r="AW163" s="57"/>
    </row>
    <row r="164" spans="47:49" ht="15" hidden="1" customHeight="1" x14ac:dyDescent="0.25">
      <c r="AU164" s="139"/>
      <c r="AV164" s="57"/>
      <c r="AW164" s="57"/>
    </row>
    <row r="165" spans="47:49" ht="15" hidden="1" customHeight="1" x14ac:dyDescent="0.25">
      <c r="AU165" s="139"/>
      <c r="AV165" s="57"/>
      <c r="AW165" s="57"/>
    </row>
    <row r="166" spans="47:49" ht="15" hidden="1" customHeight="1" x14ac:dyDescent="0.25">
      <c r="AU166" s="139"/>
      <c r="AV166" s="57"/>
      <c r="AW166" s="57"/>
    </row>
    <row r="167" spans="47:49" ht="15" hidden="1" customHeight="1" x14ac:dyDescent="0.25">
      <c r="AU167" s="139"/>
      <c r="AV167" s="57"/>
      <c r="AW167" s="57"/>
    </row>
    <row r="168" spans="47:49" ht="15" hidden="1" customHeight="1" x14ac:dyDescent="0.25">
      <c r="AU168" s="139"/>
      <c r="AV168" s="57"/>
      <c r="AW168" s="57"/>
    </row>
    <row r="169" spans="47:49" ht="15" hidden="1" customHeight="1" x14ac:dyDescent="0.25">
      <c r="AU169" s="139"/>
      <c r="AV169" s="57"/>
      <c r="AW169" s="57"/>
    </row>
    <row r="170" spans="47:49" ht="15" hidden="1" customHeight="1" x14ac:dyDescent="0.25">
      <c r="AU170" s="139"/>
      <c r="AV170" s="57"/>
      <c r="AW170" s="57"/>
    </row>
    <row r="171" spans="47:49" ht="15" hidden="1" customHeight="1" x14ac:dyDescent="0.25">
      <c r="AU171" s="139"/>
      <c r="AV171" s="57"/>
      <c r="AW171" s="57"/>
    </row>
    <row r="172" spans="47:49" ht="15" hidden="1" customHeight="1" x14ac:dyDescent="0.25">
      <c r="AU172" s="139"/>
      <c r="AV172" s="57"/>
      <c r="AW172" s="57"/>
    </row>
    <row r="173" spans="47:49" ht="15" hidden="1" customHeight="1" x14ac:dyDescent="0.25">
      <c r="AU173" s="139"/>
      <c r="AV173" s="57"/>
      <c r="AW173" s="57"/>
    </row>
    <row r="174" spans="47:49" ht="15" hidden="1" customHeight="1" x14ac:dyDescent="0.25">
      <c r="AU174" s="139"/>
      <c r="AV174" s="57"/>
      <c r="AW174" s="57"/>
    </row>
    <row r="175" spans="47:49" ht="15" hidden="1" customHeight="1" x14ac:dyDescent="0.25">
      <c r="AU175" s="139"/>
      <c r="AV175" s="57"/>
      <c r="AW175" s="57"/>
    </row>
    <row r="176" spans="47:49" ht="15" hidden="1" customHeight="1" x14ac:dyDescent="0.25">
      <c r="AU176" s="139"/>
      <c r="AV176" s="57"/>
      <c r="AW176" s="57"/>
    </row>
    <row r="177" spans="47:49" ht="15" hidden="1" customHeight="1" x14ac:dyDescent="0.25">
      <c r="AU177" s="139"/>
      <c r="AV177" s="57"/>
      <c r="AW177" s="57"/>
    </row>
    <row r="178" spans="47:49" ht="15" hidden="1" customHeight="1" x14ac:dyDescent="0.25">
      <c r="AU178" s="139"/>
      <c r="AV178" s="57"/>
      <c r="AW178" s="57"/>
    </row>
    <row r="179" spans="47:49" ht="15" hidden="1" customHeight="1" x14ac:dyDescent="0.25">
      <c r="AU179" s="139"/>
      <c r="AV179" s="57"/>
      <c r="AW179" s="57"/>
    </row>
    <row r="180" spans="47:49" ht="15" hidden="1" customHeight="1" x14ac:dyDescent="0.25">
      <c r="AU180" s="139"/>
      <c r="AV180" s="57"/>
      <c r="AW180" s="57"/>
    </row>
    <row r="181" spans="47:49" ht="15" hidden="1" customHeight="1" x14ac:dyDescent="0.25">
      <c r="AU181" s="139"/>
      <c r="AV181" s="57"/>
      <c r="AW181" s="57"/>
    </row>
    <row r="182" spans="47:49" ht="15" hidden="1" customHeight="1" x14ac:dyDescent="0.25">
      <c r="AU182" s="139"/>
      <c r="AV182" s="57"/>
      <c r="AW182" s="57"/>
    </row>
    <row r="183" spans="47:49" ht="15" hidden="1" customHeight="1" x14ac:dyDescent="0.25">
      <c r="AU183" s="139"/>
      <c r="AV183" s="57"/>
      <c r="AW183" s="57"/>
    </row>
    <row r="184" spans="47:49" ht="15" hidden="1" customHeight="1" x14ac:dyDescent="0.25">
      <c r="AU184" s="139"/>
      <c r="AV184" s="57"/>
      <c r="AW184" s="57"/>
    </row>
    <row r="185" spans="47:49" ht="15" hidden="1" customHeight="1" x14ac:dyDescent="0.25">
      <c r="AU185" s="139"/>
      <c r="AV185" s="57"/>
      <c r="AW185" s="57"/>
    </row>
    <row r="186" spans="47:49" ht="15" hidden="1" customHeight="1" x14ac:dyDescent="0.25">
      <c r="AU186" s="139"/>
      <c r="AV186" s="57"/>
      <c r="AW186" s="57"/>
    </row>
    <row r="187" spans="47:49" ht="15" hidden="1" customHeight="1" x14ac:dyDescent="0.25">
      <c r="AU187" s="139"/>
      <c r="AV187" s="57"/>
      <c r="AW187" s="57"/>
    </row>
    <row r="188" spans="47:49" ht="15" hidden="1" customHeight="1" x14ac:dyDescent="0.25">
      <c r="AU188" s="139"/>
      <c r="AV188" s="57"/>
      <c r="AW188" s="57"/>
    </row>
    <row r="189" spans="47:49" ht="15" hidden="1" customHeight="1" x14ac:dyDescent="0.25">
      <c r="AU189" s="139"/>
      <c r="AV189" s="57"/>
      <c r="AW189" s="57"/>
    </row>
    <row r="190" spans="47:49" ht="15" hidden="1" customHeight="1" x14ac:dyDescent="0.25">
      <c r="AU190" s="139"/>
      <c r="AV190" s="57"/>
      <c r="AW190" s="57"/>
    </row>
    <row r="191" spans="47:49" ht="15" hidden="1" customHeight="1" x14ac:dyDescent="0.25">
      <c r="AU191" s="139"/>
      <c r="AV191" s="57"/>
      <c r="AW191" s="57"/>
    </row>
    <row r="192" spans="47:49" ht="15" hidden="1" customHeight="1" x14ac:dyDescent="0.25">
      <c r="AU192" s="139"/>
      <c r="AV192" s="57"/>
      <c r="AW192" s="57"/>
    </row>
    <row r="193" spans="47:49" ht="15" hidden="1" customHeight="1" x14ac:dyDescent="0.25">
      <c r="AU193" s="139"/>
      <c r="AV193" s="57"/>
      <c r="AW193" s="57"/>
    </row>
    <row r="194" spans="47:49" ht="15" hidden="1" customHeight="1" x14ac:dyDescent="0.25">
      <c r="AU194" s="139"/>
      <c r="AV194" s="57"/>
      <c r="AW194" s="57"/>
    </row>
    <row r="195" spans="47:49" ht="15" hidden="1" customHeight="1" x14ac:dyDescent="0.25">
      <c r="AU195" s="139"/>
      <c r="AV195" s="57"/>
      <c r="AW195" s="57"/>
    </row>
    <row r="196" spans="47:49" ht="15" hidden="1" customHeight="1" x14ac:dyDescent="0.25">
      <c r="AU196" s="139"/>
      <c r="AV196" s="57"/>
      <c r="AW196" s="57"/>
    </row>
    <row r="197" spans="47:49" ht="15" hidden="1" customHeight="1" x14ac:dyDescent="0.25">
      <c r="AU197" s="139"/>
      <c r="AV197" s="57"/>
      <c r="AW197" s="57"/>
    </row>
    <row r="198" spans="47:49" ht="15" hidden="1" customHeight="1" x14ac:dyDescent="0.25">
      <c r="AU198" s="139"/>
      <c r="AV198" s="57"/>
      <c r="AW198" s="57"/>
    </row>
    <row r="199" spans="47:49" ht="15" hidden="1" customHeight="1" x14ac:dyDescent="0.25">
      <c r="AU199" s="139"/>
      <c r="AV199" s="57"/>
      <c r="AW199" s="57"/>
    </row>
    <row r="200" spans="47:49" ht="15" hidden="1" customHeight="1" x14ac:dyDescent="0.25">
      <c r="AU200" s="139"/>
      <c r="AV200" s="57"/>
      <c r="AW200" s="57"/>
    </row>
    <row r="201" spans="47:49" ht="15" hidden="1" customHeight="1" x14ac:dyDescent="0.25">
      <c r="AU201" s="139"/>
      <c r="AV201" s="57"/>
      <c r="AW201" s="57"/>
    </row>
    <row r="202" spans="47:49" ht="15" hidden="1" customHeight="1" x14ac:dyDescent="0.25">
      <c r="AU202" s="139"/>
      <c r="AV202" s="57"/>
      <c r="AW202" s="57"/>
    </row>
    <row r="203" spans="47:49" ht="15" hidden="1" customHeight="1" x14ac:dyDescent="0.25">
      <c r="AU203" s="139"/>
      <c r="AV203" s="57"/>
      <c r="AW203" s="57"/>
    </row>
    <row r="204" spans="47:49" ht="15" hidden="1" customHeight="1" x14ac:dyDescent="0.25">
      <c r="AU204" s="139"/>
      <c r="AV204" s="57"/>
      <c r="AW204" s="57"/>
    </row>
    <row r="205" spans="47:49" ht="15" hidden="1" customHeight="1" x14ac:dyDescent="0.25">
      <c r="AU205" s="139"/>
      <c r="AV205" s="57"/>
      <c r="AW205" s="57"/>
    </row>
    <row r="206" spans="47:49" ht="15" hidden="1" customHeight="1" x14ac:dyDescent="0.25">
      <c r="AU206" s="139"/>
      <c r="AV206" s="57"/>
      <c r="AW206" s="57"/>
    </row>
    <row r="207" spans="47:49" ht="15" hidden="1" customHeight="1" x14ac:dyDescent="0.25">
      <c r="AU207" s="139"/>
      <c r="AV207" s="57"/>
      <c r="AW207" s="57"/>
    </row>
    <row r="208" spans="47:49" ht="15" hidden="1" customHeight="1" x14ac:dyDescent="0.25">
      <c r="AU208" s="139"/>
      <c r="AV208" s="57"/>
      <c r="AW208" s="57"/>
    </row>
    <row r="209" spans="47:49" ht="15" hidden="1" customHeight="1" x14ac:dyDescent="0.25">
      <c r="AU209" s="139"/>
      <c r="AV209" s="57"/>
      <c r="AW209" s="57"/>
    </row>
    <row r="210" spans="47:49" ht="15" hidden="1" customHeight="1" x14ac:dyDescent="0.25">
      <c r="AU210" s="139"/>
      <c r="AV210" s="57"/>
      <c r="AW210" s="57"/>
    </row>
    <row r="211" spans="47:49" ht="15" hidden="1" customHeight="1" x14ac:dyDescent="0.25">
      <c r="AU211" s="139"/>
      <c r="AV211" s="57"/>
      <c r="AW211" s="57"/>
    </row>
    <row r="212" spans="47:49" ht="15" hidden="1" customHeight="1" x14ac:dyDescent="0.25">
      <c r="AU212" s="139"/>
      <c r="AV212" s="57"/>
      <c r="AW212" s="57"/>
    </row>
    <row r="213" spans="47:49" ht="15" hidden="1" customHeight="1" x14ac:dyDescent="0.25">
      <c r="AU213" s="139"/>
      <c r="AV213" s="57"/>
      <c r="AW213" s="57"/>
    </row>
    <row r="214" spans="47:49" ht="15" hidden="1" customHeight="1" x14ac:dyDescent="0.25">
      <c r="AU214" s="139"/>
      <c r="AV214" s="57"/>
      <c r="AW214" s="57"/>
    </row>
    <row r="215" spans="47:49" ht="15" hidden="1" customHeight="1" x14ac:dyDescent="0.25">
      <c r="AU215" s="139"/>
      <c r="AV215" s="57"/>
      <c r="AW215" s="57"/>
    </row>
    <row r="216" spans="47:49" ht="15" hidden="1" customHeight="1" x14ac:dyDescent="0.25">
      <c r="AU216" s="139"/>
      <c r="AV216" s="57"/>
      <c r="AW216" s="57"/>
    </row>
    <row r="217" spans="47:49" ht="15" hidden="1" customHeight="1" x14ac:dyDescent="0.25">
      <c r="AU217" s="139"/>
      <c r="AV217" s="57"/>
      <c r="AW217" s="57"/>
    </row>
    <row r="218" spans="47:49" ht="15" hidden="1" customHeight="1" x14ac:dyDescent="0.25">
      <c r="AU218" s="139"/>
      <c r="AV218" s="57"/>
      <c r="AW218" s="57"/>
    </row>
    <row r="219" spans="47:49" ht="15" hidden="1" customHeight="1" x14ac:dyDescent="0.25">
      <c r="AU219" s="139"/>
      <c r="AV219" s="57"/>
      <c r="AW219" s="57"/>
    </row>
    <row r="220" spans="47:49" ht="15" hidden="1" customHeight="1" x14ac:dyDescent="0.25">
      <c r="AU220" s="139"/>
      <c r="AV220" s="57"/>
      <c r="AW220" s="57"/>
    </row>
    <row r="221" spans="47:49" ht="15" hidden="1" customHeight="1" x14ac:dyDescent="0.25">
      <c r="AU221" s="139"/>
      <c r="AV221" s="57"/>
      <c r="AW221" s="57"/>
    </row>
    <row r="222" spans="47:49" ht="15" hidden="1" customHeight="1" x14ac:dyDescent="0.25">
      <c r="AU222" s="139"/>
      <c r="AV222" s="57"/>
      <c r="AW222" s="57"/>
    </row>
    <row r="223" spans="47:49" ht="15" hidden="1" customHeight="1" x14ac:dyDescent="0.25">
      <c r="AU223" s="139"/>
      <c r="AV223" s="57"/>
      <c r="AW223" s="57"/>
    </row>
    <row r="224" spans="47:49" ht="15" hidden="1" customHeight="1" x14ac:dyDescent="0.25">
      <c r="AU224" s="139"/>
      <c r="AV224" s="57"/>
      <c r="AW224" s="57"/>
    </row>
    <row r="225" spans="47:49" ht="15" hidden="1" customHeight="1" x14ac:dyDescent="0.25">
      <c r="AU225" s="139"/>
      <c r="AV225" s="57"/>
      <c r="AW225" s="57"/>
    </row>
    <row r="226" spans="47:49" ht="15" hidden="1" customHeight="1" x14ac:dyDescent="0.25">
      <c r="AU226" s="139"/>
      <c r="AV226" s="57"/>
      <c r="AW226" s="57"/>
    </row>
    <row r="227" spans="47:49" ht="15" hidden="1" customHeight="1" x14ac:dyDescent="0.25">
      <c r="AU227" s="139"/>
      <c r="AV227" s="57"/>
      <c r="AW227" s="57"/>
    </row>
    <row r="228" spans="47:49" ht="15" hidden="1" customHeight="1" x14ac:dyDescent="0.25">
      <c r="AU228" s="139"/>
      <c r="AV228" s="57"/>
      <c r="AW228" s="57"/>
    </row>
    <row r="229" spans="47:49" ht="15" hidden="1" customHeight="1" x14ac:dyDescent="0.25">
      <c r="AU229" s="139"/>
      <c r="AV229" s="57"/>
      <c r="AW229" s="57"/>
    </row>
    <row r="230" spans="47:49" ht="15" hidden="1" customHeight="1" x14ac:dyDescent="0.25">
      <c r="AU230" s="139"/>
      <c r="AV230" s="57"/>
      <c r="AW230" s="57"/>
    </row>
    <row r="231" spans="47:49" ht="15" hidden="1" customHeight="1" x14ac:dyDescent="0.25">
      <c r="AU231" s="139"/>
      <c r="AV231" s="57"/>
      <c r="AW231" s="57"/>
    </row>
    <row r="232" spans="47:49" ht="15" hidden="1" customHeight="1" x14ac:dyDescent="0.25">
      <c r="AU232" s="139"/>
      <c r="AV232" s="57"/>
      <c r="AW232" s="57"/>
    </row>
    <row r="233" spans="47:49" ht="15" hidden="1" customHeight="1" x14ac:dyDescent="0.25">
      <c r="AU233" s="139"/>
      <c r="AV233" s="57"/>
      <c r="AW233" s="57"/>
    </row>
    <row r="234" spans="47:49" ht="15" hidden="1" customHeight="1" x14ac:dyDescent="0.25">
      <c r="AU234" s="139"/>
      <c r="AV234" s="57"/>
      <c r="AW234" s="57"/>
    </row>
    <row r="235" spans="47:49" ht="15" hidden="1" customHeight="1" x14ac:dyDescent="0.25">
      <c r="AU235" s="139"/>
      <c r="AV235" s="57"/>
      <c r="AW235" s="57"/>
    </row>
    <row r="236" spans="47:49" ht="15" hidden="1" customHeight="1" x14ac:dyDescent="0.25">
      <c r="AU236" s="139"/>
      <c r="AV236" s="57"/>
      <c r="AW236" s="57"/>
    </row>
    <row r="237" spans="47:49" ht="15" hidden="1" customHeight="1" x14ac:dyDescent="0.25">
      <c r="AU237" s="139"/>
      <c r="AV237" s="57"/>
      <c r="AW237" s="57"/>
    </row>
    <row r="238" spans="47:49" ht="15" hidden="1" customHeight="1" x14ac:dyDescent="0.25">
      <c r="AU238" s="139"/>
      <c r="AV238" s="57"/>
      <c r="AW238" s="57"/>
    </row>
    <row r="239" spans="47:49" ht="15" hidden="1" customHeight="1" x14ac:dyDescent="0.25">
      <c r="AU239" s="139"/>
      <c r="AV239" s="57"/>
      <c r="AW239" s="57"/>
    </row>
    <row r="240" spans="47:49" ht="15" hidden="1" customHeight="1" x14ac:dyDescent="0.25">
      <c r="AU240" s="139"/>
      <c r="AV240" s="57"/>
      <c r="AW240" s="57"/>
    </row>
    <row r="241" spans="47:49" ht="15" hidden="1" customHeight="1" x14ac:dyDescent="0.25">
      <c r="AU241" s="139"/>
      <c r="AV241" s="57"/>
      <c r="AW241" s="57"/>
    </row>
  </sheetData>
  <sheetProtection algorithmName="SHA-512" hashValue="5D1ss++rvT0KHG1YmoDV0fKBf0ooAHbcwdihuGKq+MeOb6B3eOi5oN/BorUbK4qqp7QT+01z4G20hStk17PzXA==" saltValue="YsnzctZaqFfTqx3+Z+Cq1A==" spinCount="100000" sheet="1" objects="1" scenarios="1"/>
  <protectedRanges>
    <protectedRange sqref="D6:D7 D9:D10 D13:E16 D27 D34 D36 D38 D40 D43 D49 D56 C63:F63 D71:D73 D80 D82:E85 N80:N81 S25:AX84 D3:D74 D75" name="Bereik2"/>
  </protectedRanges>
  <mergeCells count="50">
    <mergeCell ref="AX6:AX20"/>
    <mergeCell ref="AW6:AW20"/>
    <mergeCell ref="AV6:AV20"/>
    <mergeCell ref="AU6:AU20"/>
    <mergeCell ref="Y6:Z20"/>
    <mergeCell ref="AI6:AJ20"/>
    <mergeCell ref="AS6:AT20"/>
    <mergeCell ref="AU1:AX1"/>
    <mergeCell ref="S1:AT1"/>
    <mergeCell ref="AR21:AR23"/>
    <mergeCell ref="AS21:AS23"/>
    <mergeCell ref="AT21:AT23"/>
    <mergeCell ref="AM21:AM23"/>
    <mergeCell ref="AN21:AN23"/>
    <mergeCell ref="AO21:AO23"/>
    <mergeCell ref="AP21:AP23"/>
    <mergeCell ref="AQ21:AQ23"/>
    <mergeCell ref="AH21:AH23"/>
    <mergeCell ref="AI21:AI23"/>
    <mergeCell ref="AJ21:AJ23"/>
    <mergeCell ref="AK21:AK23"/>
    <mergeCell ref="AL21:AL23"/>
    <mergeCell ref="Z21:Z23"/>
    <mergeCell ref="AF21:AF23"/>
    <mergeCell ref="AG21:AG23"/>
    <mergeCell ref="S21:S23"/>
    <mergeCell ref="T21:T23"/>
    <mergeCell ref="U21:U23"/>
    <mergeCell ref="V21:V23"/>
    <mergeCell ref="W21:W23"/>
    <mergeCell ref="X21:X23"/>
    <mergeCell ref="Y21:Y23"/>
    <mergeCell ref="AA21:AA23"/>
    <mergeCell ref="AB21:AB23"/>
    <mergeCell ref="AC21:AC23"/>
    <mergeCell ref="AD21:AD23"/>
    <mergeCell ref="AE21:AE23"/>
    <mergeCell ref="AU85:AU86"/>
    <mergeCell ref="AV85:AV86"/>
    <mergeCell ref="AX85:AX86"/>
    <mergeCell ref="AZ48:BC48"/>
    <mergeCell ref="Q62:Q63"/>
    <mergeCell ref="Q84:Q85"/>
    <mergeCell ref="C2:F2"/>
    <mergeCell ref="C63:F63"/>
    <mergeCell ref="C87:F87"/>
    <mergeCell ref="M78:Q78"/>
    <mergeCell ref="Q25:Q26"/>
    <mergeCell ref="Q3:Q4"/>
    <mergeCell ref="M87:Q87"/>
  </mergeCells>
  <dataValidations count="6">
    <dataValidation type="list" allowBlank="1" showInputMessage="1" showErrorMessage="1" sqref="D27 D56:D57 D29:D30" xr:uid="{69FE05E6-3160-4C37-9161-D7C3EFFA90FE}">
      <formula1>"Ja,Nee"</formula1>
    </dataValidation>
    <dataValidation type="whole" allowBlank="1" showInputMessage="1" showErrorMessage="1" sqref="D7 E82:E83 D13:E16 D34 D36 E85 D40 D43 D49 D82:D85 D10" xr:uid="{C19722D1-7DAE-4072-8C2C-EAB81146132D}">
      <formula1>0</formula1>
      <formula2>3000</formula2>
    </dataValidation>
    <dataValidation type="whole" allowBlank="1" showErrorMessage="1" prompt="Aleen hele getallen" sqref="E84" xr:uid="{D2E538A1-164D-4AB9-8F07-5F860DBF72D2}">
      <formula1>0</formula1>
      <formula2>3000</formula2>
    </dataValidation>
    <dataValidation type="whole" allowBlank="1" showInputMessage="1" showErrorMessage="1" error="Alleen hele getallen invoeren" sqref="D38" xr:uid="{448937AD-A16C-4B2A-8B1E-BC6231836F86}">
      <formula1>0</formula1>
      <formula2>3000</formula2>
    </dataValidation>
    <dataValidation type="whole" allowBlank="1" showInputMessage="1" showErrorMessage="1" sqref="D9" xr:uid="{49DE7370-B1C5-461D-86E1-79454B1E775E}">
      <formula1>0</formula1>
      <formula2>5000</formula2>
    </dataValidation>
    <dataValidation type="list" allowBlank="1" showInputMessage="1" showErrorMessage="1" sqref="D6" xr:uid="{6594AC56-9A47-4E99-BBFE-82ED61C9A7DD}">
      <formula1>$I$5:$I$8</formula1>
    </dataValidation>
  </dataValidations>
  <pageMargins left="0.6" right="0.25" top="0.28000000000000003" bottom="0.21" header="0.21" footer="0.25"/>
  <pageSetup paperSize="9" scale="66"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Warmtesysteem" xr:uid="{C7FB8B7C-0592-4C90-A209-0A60FE49AE95}">
          <x14:formula1>
            <xm:f>'CEL selectors'!$A$1:$A$5</xm:f>
          </x14:formula1>
          <xm:sqref>AZ48 C63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B0B5E-80DB-4A0C-8251-9A422F106C3C}">
  <dimension ref="A1:O51"/>
  <sheetViews>
    <sheetView topLeftCell="A23" workbookViewId="0">
      <selection activeCell="K47" sqref="K47"/>
    </sheetView>
  </sheetViews>
  <sheetFormatPr defaultRowHeight="15" x14ac:dyDescent="0.25"/>
  <cols>
    <col min="3" max="3" width="12.85546875" customWidth="1"/>
    <col min="5" max="5" width="10.28515625" bestFit="1" customWidth="1"/>
    <col min="6" max="7" width="10.140625" customWidth="1"/>
    <col min="8" max="8" width="10.28515625" bestFit="1" customWidth="1"/>
    <col min="9" max="9" width="10.42578125" customWidth="1"/>
  </cols>
  <sheetData>
    <row r="1" spans="1:14" x14ac:dyDescent="0.25">
      <c r="A1" t="s">
        <v>143</v>
      </c>
    </row>
    <row r="4" spans="1:14" x14ac:dyDescent="0.25">
      <c r="A4" t="s">
        <v>137</v>
      </c>
      <c r="B4">
        <v>0.92500000000000004</v>
      </c>
    </row>
    <row r="5" spans="1:14" x14ac:dyDescent="0.25">
      <c r="A5" t="s">
        <v>139</v>
      </c>
      <c r="B5">
        <v>0.97499999999999998</v>
      </c>
    </row>
    <row r="6" spans="1:14" x14ac:dyDescent="0.25">
      <c r="A6" t="s">
        <v>142</v>
      </c>
      <c r="B6">
        <v>0.65</v>
      </c>
    </row>
    <row r="7" spans="1:14" x14ac:dyDescent="0.25">
      <c r="A7" t="s">
        <v>138</v>
      </c>
      <c r="B7">
        <v>0.65</v>
      </c>
    </row>
    <row r="10" spans="1:14" x14ac:dyDescent="0.25">
      <c r="A10" t="s">
        <v>144</v>
      </c>
      <c r="E10" t="s">
        <v>157</v>
      </c>
      <c r="H10" t="s">
        <v>159</v>
      </c>
    </row>
    <row r="11" spans="1:14" x14ac:dyDescent="0.25">
      <c r="B11" t="s">
        <v>158</v>
      </c>
      <c r="C11" s="70">
        <f>'Banne-Rekentool'!I80</f>
        <v>0</v>
      </c>
      <c r="F11" s="70">
        <f>'Banne-Rekentool'!I71</f>
        <v>3600</v>
      </c>
    </row>
    <row r="12" spans="1:14" x14ac:dyDescent="0.25">
      <c r="A12" t="s">
        <v>145</v>
      </c>
      <c r="B12" s="74">
        <v>0.03</v>
      </c>
      <c r="C12">
        <f>$C$11*B12</f>
        <v>0</v>
      </c>
      <c r="E12" s="74">
        <v>0.12</v>
      </c>
      <c r="F12">
        <f>$F$11*E12</f>
        <v>432</v>
      </c>
      <c r="H12">
        <f>F12-C12</f>
        <v>432</v>
      </c>
      <c r="N12" s="74">
        <v>0.1</v>
      </c>
    </row>
    <row r="13" spans="1:14" x14ac:dyDescent="0.25">
      <c r="A13" t="s">
        <v>146</v>
      </c>
      <c r="B13" s="74">
        <v>0.05</v>
      </c>
      <c r="C13">
        <f t="shared" ref="C13:C23" si="0">$C$11*B13</f>
        <v>0</v>
      </c>
      <c r="E13" s="74">
        <v>0.11</v>
      </c>
      <c r="F13">
        <f t="shared" ref="F13:F23" si="1">$F$11*E13</f>
        <v>396</v>
      </c>
      <c r="H13">
        <f t="shared" ref="H13:H23" si="2">F13-C13</f>
        <v>396</v>
      </c>
      <c r="N13" s="74">
        <v>0.09</v>
      </c>
    </row>
    <row r="14" spans="1:14" x14ac:dyDescent="0.25">
      <c r="A14" t="s">
        <v>147</v>
      </c>
      <c r="B14" s="74">
        <v>0.08</v>
      </c>
      <c r="C14">
        <f t="shared" si="0"/>
        <v>0</v>
      </c>
      <c r="E14" s="74">
        <v>0.09</v>
      </c>
      <c r="F14">
        <f t="shared" si="1"/>
        <v>324</v>
      </c>
      <c r="H14">
        <f t="shared" si="2"/>
        <v>324</v>
      </c>
      <c r="N14" s="74">
        <v>0.09</v>
      </c>
    </row>
    <row r="15" spans="1:14" x14ac:dyDescent="0.25">
      <c r="A15" t="s">
        <v>148</v>
      </c>
      <c r="B15" s="74">
        <v>0.12</v>
      </c>
      <c r="C15">
        <f t="shared" si="0"/>
        <v>0</v>
      </c>
      <c r="E15" s="74">
        <v>0.08</v>
      </c>
      <c r="F15">
        <f t="shared" si="1"/>
        <v>288</v>
      </c>
      <c r="H15">
        <f t="shared" si="2"/>
        <v>288</v>
      </c>
      <c r="N15" s="74">
        <v>0.08</v>
      </c>
    </row>
    <row r="16" spans="1:14" x14ac:dyDescent="0.25">
      <c r="A16" t="s">
        <v>149</v>
      </c>
      <c r="B16" s="74">
        <v>0.13</v>
      </c>
      <c r="C16">
        <f t="shared" si="0"/>
        <v>0</v>
      </c>
      <c r="E16" s="74">
        <v>7.0000000000000007E-2</v>
      </c>
      <c r="F16">
        <f t="shared" si="1"/>
        <v>252.00000000000003</v>
      </c>
      <c r="H16">
        <f t="shared" si="2"/>
        <v>252.00000000000003</v>
      </c>
      <c r="N16" s="74">
        <v>0.08</v>
      </c>
    </row>
    <row r="17" spans="1:14" x14ac:dyDescent="0.25">
      <c r="A17" t="s">
        <v>150</v>
      </c>
      <c r="B17" s="74">
        <v>0.13</v>
      </c>
      <c r="C17">
        <f t="shared" si="0"/>
        <v>0</v>
      </c>
      <c r="E17" s="74">
        <v>0.06</v>
      </c>
      <c r="F17">
        <f t="shared" si="1"/>
        <v>216</v>
      </c>
      <c r="H17">
        <f t="shared" si="2"/>
        <v>216</v>
      </c>
      <c r="N17" s="74">
        <v>7.0000000000000007E-2</v>
      </c>
    </row>
    <row r="18" spans="1:14" x14ac:dyDescent="0.25">
      <c r="A18" t="s">
        <v>151</v>
      </c>
      <c r="B18" s="74">
        <v>0.13</v>
      </c>
      <c r="C18">
        <f t="shared" si="0"/>
        <v>0</v>
      </c>
      <c r="E18" s="74">
        <v>0.05</v>
      </c>
      <c r="F18">
        <f t="shared" si="1"/>
        <v>180</v>
      </c>
      <c r="H18">
        <f t="shared" si="2"/>
        <v>180</v>
      </c>
      <c r="N18" s="74">
        <v>7.0000000000000007E-2</v>
      </c>
    </row>
    <row r="19" spans="1:14" x14ac:dyDescent="0.25">
      <c r="A19" t="s">
        <v>152</v>
      </c>
      <c r="B19" s="74">
        <v>0.11</v>
      </c>
      <c r="C19">
        <f t="shared" si="0"/>
        <v>0</v>
      </c>
      <c r="E19" s="74">
        <v>0.05</v>
      </c>
      <c r="F19">
        <f t="shared" si="1"/>
        <v>180</v>
      </c>
      <c r="H19">
        <f t="shared" si="2"/>
        <v>180</v>
      </c>
      <c r="N19" s="74">
        <v>7.0000000000000007E-2</v>
      </c>
    </row>
    <row r="20" spans="1:14" x14ac:dyDescent="0.25">
      <c r="A20" t="s">
        <v>153</v>
      </c>
      <c r="B20" s="74">
        <v>0.1</v>
      </c>
      <c r="C20">
        <f t="shared" si="0"/>
        <v>0</v>
      </c>
      <c r="E20" s="74">
        <v>7.0000000000000007E-2</v>
      </c>
      <c r="F20">
        <f t="shared" si="1"/>
        <v>252.00000000000003</v>
      </c>
      <c r="H20">
        <f t="shared" si="2"/>
        <v>252.00000000000003</v>
      </c>
      <c r="N20" s="74">
        <v>0.08</v>
      </c>
    </row>
    <row r="21" spans="1:14" x14ac:dyDescent="0.25">
      <c r="A21" t="s">
        <v>154</v>
      </c>
      <c r="B21" s="74">
        <v>7.0000000000000007E-2</v>
      </c>
      <c r="C21">
        <f t="shared" si="0"/>
        <v>0</v>
      </c>
      <c r="E21" s="74">
        <v>0.08</v>
      </c>
      <c r="F21">
        <f t="shared" si="1"/>
        <v>288</v>
      </c>
      <c r="H21">
        <f t="shared" si="2"/>
        <v>288</v>
      </c>
      <c r="N21" s="74">
        <v>0.08</v>
      </c>
    </row>
    <row r="22" spans="1:14" x14ac:dyDescent="0.25">
      <c r="A22" t="s">
        <v>155</v>
      </c>
      <c r="B22" s="74">
        <v>0.03</v>
      </c>
      <c r="C22">
        <f t="shared" si="0"/>
        <v>0</v>
      </c>
      <c r="E22" s="74">
        <v>0.1</v>
      </c>
      <c r="F22">
        <f t="shared" si="1"/>
        <v>360</v>
      </c>
      <c r="H22">
        <f t="shared" si="2"/>
        <v>360</v>
      </c>
      <c r="N22" s="74">
        <v>0.09</v>
      </c>
    </row>
    <row r="23" spans="1:14" x14ac:dyDescent="0.25">
      <c r="A23" t="s">
        <v>156</v>
      </c>
      <c r="B23" s="74">
        <v>0.02</v>
      </c>
      <c r="C23">
        <f t="shared" si="0"/>
        <v>0</v>
      </c>
      <c r="E23" s="74">
        <v>0.12</v>
      </c>
      <c r="F23">
        <f t="shared" si="1"/>
        <v>432</v>
      </c>
      <c r="H23">
        <f t="shared" si="2"/>
        <v>432</v>
      </c>
      <c r="N23" s="74">
        <v>0.1</v>
      </c>
    </row>
    <row r="24" spans="1:14" x14ac:dyDescent="0.25">
      <c r="E24">
        <f>SUM(E12:E23)</f>
        <v>1</v>
      </c>
      <c r="H24">
        <f>SUMIF(H12:H23,"&gt;0")</f>
        <v>3600</v>
      </c>
      <c r="N24">
        <f>SUM(N12:N23)</f>
        <v>1</v>
      </c>
    </row>
    <row r="32" spans="1:14" x14ac:dyDescent="0.25">
      <c r="A32" t="s">
        <v>184</v>
      </c>
      <c r="H32" t="s">
        <v>192</v>
      </c>
    </row>
    <row r="33" spans="1:15" x14ac:dyDescent="0.25">
      <c r="A33" s="70">
        <f>'Banne-Rekentool'!I71</f>
        <v>3600</v>
      </c>
      <c r="C33" s="154">
        <f>'Banne-Rekentool'!D71</f>
        <v>0.4</v>
      </c>
      <c r="E33">
        <f>A33*C33</f>
        <v>1440</v>
      </c>
      <c r="H33" t="s">
        <v>196</v>
      </c>
      <c r="I33" t="s">
        <v>193</v>
      </c>
      <c r="J33" t="s">
        <v>194</v>
      </c>
      <c r="K33" t="s">
        <v>195</v>
      </c>
      <c r="N33" t="s">
        <v>197</v>
      </c>
    </row>
    <row r="34" spans="1:15" x14ac:dyDescent="0.25">
      <c r="A34" s="153">
        <f>'Banne-Rekentool'!N80</f>
        <v>0.3</v>
      </c>
      <c r="B34">
        <f>A33*'Banne-Rekentool'!N80</f>
        <v>1080</v>
      </c>
      <c r="C34" s="154"/>
      <c r="H34">
        <f>SUM('Banne-Rekentool'!D82:D85)</f>
        <v>0</v>
      </c>
      <c r="I34">
        <v>200</v>
      </c>
      <c r="J34">
        <v>375</v>
      </c>
      <c r="K34">
        <v>1.47</v>
      </c>
      <c r="L34">
        <f>K34*J34+I34</f>
        <v>751.25</v>
      </c>
      <c r="N34">
        <f>H34*L34</f>
        <v>0</v>
      </c>
    </row>
    <row r="35" spans="1:15" x14ac:dyDescent="0.25">
      <c r="A35" s="70"/>
      <c r="B35" s="70">
        <f>'Banne-Rekentool'!I80</f>
        <v>0</v>
      </c>
    </row>
    <row r="36" spans="1:15" x14ac:dyDescent="0.25">
      <c r="B36">
        <f>IF(B35&lt;B34, B35, B34)</f>
        <v>0</v>
      </c>
      <c r="C36" s="154">
        <f>'Banne-Rekentool'!D71*-1</f>
        <v>-0.4</v>
      </c>
      <c r="E36">
        <f>B36*C36</f>
        <v>0</v>
      </c>
    </row>
    <row r="37" spans="1:15" x14ac:dyDescent="0.25">
      <c r="E37">
        <f>E33+E36</f>
        <v>1440</v>
      </c>
    </row>
    <row r="39" spans="1:15" x14ac:dyDescent="0.25">
      <c r="B39" s="70">
        <f>B35-B36</f>
        <v>0</v>
      </c>
      <c r="C39" s="43">
        <f>'Banne-Rekentool'!N81*-1</f>
        <v>-0.09</v>
      </c>
      <c r="E39">
        <f>B39*C39</f>
        <v>0</v>
      </c>
    </row>
    <row r="40" spans="1:15" x14ac:dyDescent="0.25">
      <c r="E40">
        <f>E37+E39</f>
        <v>1440</v>
      </c>
    </row>
    <row r="42" spans="1:15" x14ac:dyDescent="0.25">
      <c r="A42" s="70">
        <f>'Banne-Rekentool'!I71</f>
        <v>3600</v>
      </c>
      <c r="B42" s="42">
        <f>'Banne-Rekentool'!D71</f>
        <v>0.4</v>
      </c>
      <c r="C42" s="42">
        <f>A42*B42</f>
        <v>1440</v>
      </c>
    </row>
    <row r="43" spans="1:15" x14ac:dyDescent="0.25">
      <c r="A43" s="70">
        <f>'Banne-Rekentool'!I80</f>
        <v>0</v>
      </c>
      <c r="G43" t="s">
        <v>198</v>
      </c>
    </row>
    <row r="44" spans="1:15" x14ac:dyDescent="0.25">
      <c r="B44" s="153">
        <f>'Banne-Rekentool'!N80</f>
        <v>0.3</v>
      </c>
      <c r="C44">
        <f>$A$42*B44</f>
        <v>1080</v>
      </c>
      <c r="D44" s="70">
        <f>A43-'PV panelen'!C44</f>
        <v>-1080</v>
      </c>
      <c r="E44" s="70">
        <f>A42*N44</f>
        <v>3600</v>
      </c>
      <c r="F44" s="70">
        <f>E44-D44-C44</f>
        <v>3600</v>
      </c>
      <c r="H44" s="70"/>
      <c r="I44" s="42"/>
      <c r="J44" s="42"/>
      <c r="N44" s="153">
        <v>1</v>
      </c>
      <c r="O44">
        <v>2024</v>
      </c>
    </row>
    <row r="45" spans="1:15" x14ac:dyDescent="0.25">
      <c r="B45" s="153">
        <f>'Banne-Rekentool'!N80</f>
        <v>0.3</v>
      </c>
      <c r="C45">
        <f>$A$42*B45</f>
        <v>1080</v>
      </c>
      <c r="D45" s="70">
        <f>A43-'PV panelen'!C45</f>
        <v>-1080</v>
      </c>
      <c r="E45" s="70">
        <f>A42*N45</f>
        <v>2304</v>
      </c>
      <c r="F45" s="70">
        <f>E45-D45-C45</f>
        <v>2304</v>
      </c>
      <c r="H45" s="70"/>
      <c r="I45" s="42"/>
      <c r="J45" s="42"/>
      <c r="N45" s="153">
        <v>0.64</v>
      </c>
      <c r="O45">
        <v>2025</v>
      </c>
    </row>
    <row r="46" spans="1:15" x14ac:dyDescent="0.25">
      <c r="N46" s="153">
        <v>0.64</v>
      </c>
      <c r="O46">
        <v>2026</v>
      </c>
    </row>
    <row r="47" spans="1:15" x14ac:dyDescent="0.25">
      <c r="N47" s="153">
        <v>0.55000000000000004</v>
      </c>
      <c r="O47">
        <v>2027</v>
      </c>
    </row>
    <row r="48" spans="1:15" x14ac:dyDescent="0.25">
      <c r="N48" s="153">
        <v>0.46</v>
      </c>
      <c r="O48">
        <v>2028</v>
      </c>
    </row>
    <row r="49" spans="14:15" x14ac:dyDescent="0.25">
      <c r="N49" s="153">
        <v>0.37</v>
      </c>
      <c r="O49">
        <v>2029</v>
      </c>
    </row>
    <row r="50" spans="14:15" x14ac:dyDescent="0.25">
      <c r="N50" s="153">
        <v>0.28000000000000003</v>
      </c>
      <c r="O50">
        <v>2030</v>
      </c>
    </row>
    <row r="51" spans="14:15" x14ac:dyDescent="0.25">
      <c r="N51" s="153">
        <v>0</v>
      </c>
      <c r="O51">
        <v>2031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0B2FE-AEC7-4FBE-8485-BD31DF86E349}">
  <dimension ref="A1:W49"/>
  <sheetViews>
    <sheetView workbookViewId="0">
      <selection activeCell="J16" sqref="J16"/>
    </sheetView>
  </sheetViews>
  <sheetFormatPr defaultRowHeight="15" x14ac:dyDescent="0.25"/>
  <cols>
    <col min="1" max="1" width="29" customWidth="1"/>
    <col min="5" max="5" width="11.85546875" customWidth="1"/>
    <col min="6" max="6" width="13.28515625" customWidth="1"/>
    <col min="8" max="8" width="16.85546875" customWidth="1"/>
    <col min="10" max="10" width="9.140625" customWidth="1"/>
    <col min="12" max="12" width="14.5703125" customWidth="1"/>
  </cols>
  <sheetData>
    <row r="1" spans="1:23" x14ac:dyDescent="0.25">
      <c r="B1" t="s">
        <v>108</v>
      </c>
      <c r="C1" t="s">
        <v>109</v>
      </c>
      <c r="D1" t="s">
        <v>112</v>
      </c>
      <c r="E1" t="s">
        <v>116</v>
      </c>
      <c r="F1" t="s">
        <v>117</v>
      </c>
      <c r="H1" t="s">
        <v>124</v>
      </c>
      <c r="I1" t="s">
        <v>125</v>
      </c>
      <c r="N1" t="s">
        <v>110</v>
      </c>
      <c r="P1" t="s">
        <v>115</v>
      </c>
      <c r="V1" t="s">
        <v>111</v>
      </c>
      <c r="W1" t="s">
        <v>114</v>
      </c>
    </row>
    <row r="2" spans="1:23" x14ac:dyDescent="0.25">
      <c r="B2" t="s">
        <v>58</v>
      </c>
      <c r="C2" t="s">
        <v>106</v>
      </c>
      <c r="D2" t="s">
        <v>113</v>
      </c>
      <c r="E2" t="s">
        <v>118</v>
      </c>
      <c r="F2" t="s">
        <v>121</v>
      </c>
      <c r="H2" t="s">
        <v>123</v>
      </c>
      <c r="I2" t="s">
        <v>126</v>
      </c>
      <c r="J2">
        <v>20</v>
      </c>
      <c r="M2" t="s">
        <v>129</v>
      </c>
      <c r="N2" t="s">
        <v>107</v>
      </c>
      <c r="O2" t="s">
        <v>127</v>
      </c>
      <c r="Q2" t="s">
        <v>122</v>
      </c>
      <c r="R2" t="s">
        <v>128</v>
      </c>
    </row>
    <row r="3" spans="1:23" x14ac:dyDescent="0.25">
      <c r="A3" t="s">
        <v>103</v>
      </c>
      <c r="B3">
        <v>108</v>
      </c>
      <c r="C3">
        <v>134.19999999999999</v>
      </c>
      <c r="D3">
        <v>30</v>
      </c>
      <c r="E3">
        <f>D3*C3</f>
        <v>4025.9999999999995</v>
      </c>
      <c r="F3">
        <f>E3/B3</f>
        <v>37.277777777777771</v>
      </c>
      <c r="H3">
        <v>2700</v>
      </c>
      <c r="I3">
        <f>C3*H3/1000</f>
        <v>362.33999999999992</v>
      </c>
      <c r="J3">
        <f>I3-$J2</f>
        <v>342.33999999999992</v>
      </c>
      <c r="M3">
        <f>P3/3.6/108</f>
        <v>72.996399176954739</v>
      </c>
      <c r="N3">
        <v>20.3</v>
      </c>
      <c r="O3">
        <f>N3*B3</f>
        <v>2192.4</v>
      </c>
      <c r="P3">
        <f>10574+9924+7883</f>
        <v>28381</v>
      </c>
      <c r="Q3">
        <v>7883</v>
      </c>
      <c r="R3">
        <f>Q3/3.6</f>
        <v>2189.7222222222222</v>
      </c>
      <c r="V3">
        <f>C3/N3</f>
        <v>6.6108374384236441</v>
      </c>
      <c r="W3">
        <f>(N3*B3)/C3</f>
        <v>16.336810730253355</v>
      </c>
    </row>
    <row r="4" spans="1:23" x14ac:dyDescent="0.25">
      <c r="A4" t="s">
        <v>104</v>
      </c>
      <c r="B4">
        <v>108</v>
      </c>
      <c r="C4">
        <v>171.3</v>
      </c>
      <c r="D4">
        <v>30</v>
      </c>
      <c r="E4">
        <f t="shared" ref="E4:E7" si="0">D4*C4</f>
        <v>5139</v>
      </c>
      <c r="F4">
        <f t="shared" ref="F4:F7" si="1">E4/B4</f>
        <v>47.583333333333336</v>
      </c>
      <c r="H4">
        <v>2700</v>
      </c>
      <c r="I4">
        <f t="shared" ref="I4:I7" si="2">C4*H4/1000</f>
        <v>462.51000000000005</v>
      </c>
      <c r="J4">
        <f t="shared" ref="J4:J7" si="3">I4-$J3</f>
        <v>120.17000000000013</v>
      </c>
      <c r="M4">
        <f t="shared" ref="M4:M7" si="4">P4/3.6/108</f>
        <v>93.222736625514401</v>
      </c>
      <c r="N4">
        <v>36.9</v>
      </c>
      <c r="O4">
        <f t="shared" ref="O4:O7" si="5">N4*B4</f>
        <v>3985.2</v>
      </c>
      <c r="P4">
        <f>10833+11047+14365</f>
        <v>36245</v>
      </c>
      <c r="Q4">
        <v>14365</v>
      </c>
      <c r="R4">
        <f t="shared" ref="R4:R7" si="6">Q4/3.6</f>
        <v>3990.2777777777778</v>
      </c>
      <c r="V4">
        <f>C4/N4</f>
        <v>4.6422764227642279</v>
      </c>
      <c r="W4">
        <f>(N4*B4)/C4</f>
        <v>23.264448336252187</v>
      </c>
    </row>
    <row r="5" spans="1:23" x14ac:dyDescent="0.25">
      <c r="A5" t="s">
        <v>120</v>
      </c>
      <c r="B5">
        <v>108</v>
      </c>
      <c r="C5">
        <v>247.5</v>
      </c>
      <c r="D5">
        <v>30</v>
      </c>
      <c r="E5">
        <f t="shared" si="0"/>
        <v>7425</v>
      </c>
      <c r="F5">
        <f t="shared" si="1"/>
        <v>68.75</v>
      </c>
      <c r="H5">
        <v>2700</v>
      </c>
      <c r="I5">
        <f t="shared" si="2"/>
        <v>668.25</v>
      </c>
      <c r="J5">
        <f t="shared" si="3"/>
        <v>548.07999999999993</v>
      </c>
      <c r="M5">
        <f t="shared" si="4"/>
        <v>116.9727366255144</v>
      </c>
      <c r="N5">
        <v>58.5</v>
      </c>
      <c r="O5">
        <f t="shared" si="5"/>
        <v>6318</v>
      </c>
      <c r="P5">
        <f>11345+11387+22747</f>
        <v>45479</v>
      </c>
      <c r="Q5">
        <v>22747</v>
      </c>
      <c r="R5">
        <f t="shared" si="6"/>
        <v>6318.6111111111113</v>
      </c>
      <c r="V5">
        <f>C5/N5</f>
        <v>4.2307692307692308</v>
      </c>
      <c r="W5">
        <f>(N5*B5)/C5</f>
        <v>25.527272727272727</v>
      </c>
    </row>
    <row r="6" spans="1:23" x14ac:dyDescent="0.25">
      <c r="A6" t="s">
        <v>119</v>
      </c>
      <c r="B6">
        <v>108</v>
      </c>
      <c r="C6">
        <v>318.39999999999998</v>
      </c>
      <c r="D6">
        <v>30</v>
      </c>
      <c r="E6">
        <f t="shared" si="0"/>
        <v>9552</v>
      </c>
      <c r="F6">
        <f t="shared" si="1"/>
        <v>88.444444444444443</v>
      </c>
      <c r="H6">
        <v>2700</v>
      </c>
      <c r="I6">
        <f t="shared" si="2"/>
        <v>859.67999999999984</v>
      </c>
      <c r="J6">
        <f t="shared" si="3"/>
        <v>311.59999999999991</v>
      </c>
      <c r="M6">
        <f t="shared" si="4"/>
        <v>150.45781893004116</v>
      </c>
      <c r="N6">
        <v>90.1</v>
      </c>
      <c r="O6">
        <f t="shared" si="5"/>
        <v>9730.7999999999993</v>
      </c>
      <c r="P6">
        <f>11578+11883+35037</f>
        <v>58498</v>
      </c>
      <c r="Q6">
        <v>35037</v>
      </c>
      <c r="R6">
        <f t="shared" si="6"/>
        <v>9732.5</v>
      </c>
      <c r="V6">
        <f>C6/N6</f>
        <v>3.5338512763596004</v>
      </c>
      <c r="W6">
        <f>(N6*B6)/C6</f>
        <v>30.561557788944725</v>
      </c>
    </row>
    <row r="7" spans="1:23" x14ac:dyDescent="0.25">
      <c r="A7" t="s">
        <v>105</v>
      </c>
      <c r="B7">
        <v>108</v>
      </c>
      <c r="C7">
        <v>341.4</v>
      </c>
      <c r="D7">
        <v>30</v>
      </c>
      <c r="E7">
        <f t="shared" si="0"/>
        <v>10242</v>
      </c>
      <c r="F7">
        <f t="shared" si="1"/>
        <v>94.833333333333329</v>
      </c>
      <c r="H7">
        <v>2700</v>
      </c>
      <c r="I7">
        <f t="shared" si="2"/>
        <v>921.77999999999986</v>
      </c>
      <c r="J7">
        <f t="shared" si="3"/>
        <v>610.17999999999995</v>
      </c>
      <c r="M7">
        <f t="shared" si="4"/>
        <v>169.50874485596708</v>
      </c>
      <c r="N7">
        <v>99.1</v>
      </c>
      <c r="O7">
        <f t="shared" si="5"/>
        <v>10702.8</v>
      </c>
      <c r="P7">
        <f>12496+14874+38535</f>
        <v>65905</v>
      </c>
      <c r="Q7">
        <v>38535</v>
      </c>
      <c r="R7">
        <f t="shared" si="6"/>
        <v>10704.166666666666</v>
      </c>
      <c r="V7">
        <f>C7/N7</f>
        <v>3.4450050454086782</v>
      </c>
      <c r="W7">
        <f>(N7*B7)/C7</f>
        <v>31.349736379613358</v>
      </c>
    </row>
    <row r="11" spans="1:23" x14ac:dyDescent="0.25">
      <c r="C11">
        <f>C7/C3</f>
        <v>2.5439642324888228</v>
      </c>
      <c r="M11">
        <f>M7/M3</f>
        <v>2.3221521440400266</v>
      </c>
      <c r="N11">
        <f>N7/N3</f>
        <v>4.8817733990147776</v>
      </c>
      <c r="P11">
        <f>P7/P3</f>
        <v>2.3221521440400266</v>
      </c>
      <c r="Q11">
        <f>Q7/Q3</f>
        <v>4.888367372827604</v>
      </c>
    </row>
    <row r="20" spans="6:8" x14ac:dyDescent="0.25">
      <c r="F20" t="s">
        <v>106</v>
      </c>
      <c r="G20" t="s">
        <v>107</v>
      </c>
      <c r="H20" t="s">
        <v>130</v>
      </c>
    </row>
    <row r="21" spans="6:8" x14ac:dyDescent="0.25">
      <c r="F21">
        <f>Blad1!C3</f>
        <v>134.19999999999999</v>
      </c>
      <c r="G21">
        <f>Blad1!N3</f>
        <v>20.3</v>
      </c>
      <c r="H21">
        <f>Blad1!V3</f>
        <v>6.6108374384236441</v>
      </c>
    </row>
    <row r="22" spans="6:8" x14ac:dyDescent="0.25">
      <c r="F22">
        <f>Blad1!C4</f>
        <v>171.3</v>
      </c>
      <c r="G22">
        <f>Blad1!N4</f>
        <v>36.9</v>
      </c>
      <c r="H22">
        <f>Blad1!V4</f>
        <v>4.6422764227642279</v>
      </c>
    </row>
    <row r="23" spans="6:8" x14ac:dyDescent="0.25">
      <c r="F23">
        <f>Blad1!C5</f>
        <v>247.5</v>
      </c>
      <c r="G23">
        <f>Blad1!N5</f>
        <v>58.5</v>
      </c>
      <c r="H23">
        <f>Blad1!V5</f>
        <v>4.2307692307692308</v>
      </c>
    </row>
    <row r="24" spans="6:8" x14ac:dyDescent="0.25">
      <c r="F24">
        <f>Blad1!C6</f>
        <v>318.39999999999998</v>
      </c>
      <c r="G24">
        <f>Blad1!N6</f>
        <v>90.1</v>
      </c>
      <c r="H24">
        <f>Blad1!V6</f>
        <v>3.5338512763596004</v>
      </c>
    </row>
    <row r="25" spans="6:8" x14ac:dyDescent="0.25">
      <c r="F25">
        <f>Blad1!C7</f>
        <v>341.4</v>
      </c>
      <c r="G25">
        <f>Blad1!N7</f>
        <v>99.1</v>
      </c>
      <c r="H25">
        <f>Blad1!V7</f>
        <v>3.4450050454086782</v>
      </c>
    </row>
    <row r="40" spans="3:15" x14ac:dyDescent="0.25">
      <c r="N40" t="s">
        <v>131</v>
      </c>
      <c r="O40" t="s">
        <v>106</v>
      </c>
    </row>
    <row r="41" spans="3:15" x14ac:dyDescent="0.25">
      <c r="C41">
        <v>134</v>
      </c>
      <c r="D41">
        <v>20</v>
      </c>
      <c r="N41">
        <v>20.3</v>
      </c>
      <c r="O41">
        <v>134.19999999999999</v>
      </c>
    </row>
    <row r="42" spans="3:15" x14ac:dyDescent="0.25">
      <c r="D42">
        <v>30</v>
      </c>
      <c r="N42">
        <v>36.9</v>
      </c>
      <c r="O42">
        <v>171.3</v>
      </c>
    </row>
    <row r="43" spans="3:15" x14ac:dyDescent="0.25">
      <c r="D43">
        <v>40</v>
      </c>
      <c r="N43">
        <v>58.5</v>
      </c>
      <c r="O43">
        <v>247.5</v>
      </c>
    </row>
    <row r="44" spans="3:15" x14ac:dyDescent="0.25">
      <c r="D44">
        <v>50</v>
      </c>
      <c r="N44">
        <v>90.1</v>
      </c>
      <c r="O44">
        <v>318.39999999999998</v>
      </c>
    </row>
    <row r="45" spans="3:15" x14ac:dyDescent="0.25">
      <c r="C45">
        <v>255</v>
      </c>
      <c r="D45">
        <v>60</v>
      </c>
      <c r="E45">
        <f>C45/D45</f>
        <v>4.25</v>
      </c>
      <c r="N45">
        <v>99.1</v>
      </c>
      <c r="O45">
        <v>341.4</v>
      </c>
    </row>
    <row r="46" spans="3:15" x14ac:dyDescent="0.25">
      <c r="D46">
        <v>70</v>
      </c>
    </row>
    <row r="47" spans="3:15" x14ac:dyDescent="0.25">
      <c r="D47">
        <v>80</v>
      </c>
    </row>
    <row r="48" spans="3:15" x14ac:dyDescent="0.25">
      <c r="C48">
        <v>320</v>
      </c>
      <c r="D48">
        <v>90</v>
      </c>
      <c r="E48">
        <f>C48/D48</f>
        <v>3.5555555555555554</v>
      </c>
    </row>
    <row r="49" spans="3:5" x14ac:dyDescent="0.25">
      <c r="C49">
        <v>340</v>
      </c>
      <c r="D49">
        <v>100</v>
      </c>
      <c r="E49">
        <f>C49/D49</f>
        <v>3.4</v>
      </c>
    </row>
  </sheetData>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BDA17-4E2F-474A-A829-A4F49B06C8AF}">
  <sheetPr codeName="Blad2"/>
  <dimension ref="A1:F16"/>
  <sheetViews>
    <sheetView workbookViewId="0">
      <selection activeCell="B9" sqref="B9"/>
    </sheetView>
  </sheetViews>
  <sheetFormatPr defaultRowHeight="15" x14ac:dyDescent="0.25"/>
  <cols>
    <col min="1" max="1" width="20.140625" customWidth="1"/>
  </cols>
  <sheetData>
    <row r="1" spans="1:6" x14ac:dyDescent="0.25">
      <c r="A1" t="s">
        <v>90</v>
      </c>
      <c r="B1">
        <v>0</v>
      </c>
    </row>
    <row r="2" spans="1:6" x14ac:dyDescent="0.25">
      <c r="A2" t="s">
        <v>65</v>
      </c>
      <c r="B2">
        <v>0</v>
      </c>
    </row>
    <row r="3" spans="1:6" x14ac:dyDescent="0.25">
      <c r="A3" t="s">
        <v>35</v>
      </c>
      <c r="B3">
        <f>'Banne-Rekentool'!M64/3.5</f>
        <v>3698.3431999999998</v>
      </c>
    </row>
    <row r="4" spans="1:6" x14ac:dyDescent="0.25">
      <c r="A4" t="s">
        <v>210</v>
      </c>
      <c r="B4">
        <f>'Banne-Rekentool'!M64/4.5</f>
        <v>2876.4891555555555</v>
      </c>
    </row>
    <row r="5" spans="1:6" x14ac:dyDescent="0.25">
      <c r="A5" t="s">
        <v>89</v>
      </c>
      <c r="B5" s="70">
        <f>'Banne-Rekentool'!M64</f>
        <v>12944.2012</v>
      </c>
    </row>
    <row r="9" spans="1:6" x14ac:dyDescent="0.25">
      <c r="F9" t="s">
        <v>90</v>
      </c>
    </row>
    <row r="12" spans="1:6" x14ac:dyDescent="0.25">
      <c r="F12" t="s">
        <v>90</v>
      </c>
    </row>
    <row r="13" spans="1:6" x14ac:dyDescent="0.25">
      <c r="F13" t="s">
        <v>65</v>
      </c>
    </row>
    <row r="14" spans="1:6" x14ac:dyDescent="0.25">
      <c r="F14" t="s">
        <v>35</v>
      </c>
    </row>
    <row r="15" spans="1:6" x14ac:dyDescent="0.25">
      <c r="F15" t="s">
        <v>64</v>
      </c>
    </row>
    <row r="16" spans="1:6" x14ac:dyDescent="0.25">
      <c r="F16" t="s">
        <v>89</v>
      </c>
    </row>
  </sheetData>
  <dataValidations disablePrompts="1" count="1">
    <dataValidation type="list" allowBlank="1" showInputMessage="1" showErrorMessage="1" sqref="F9" xr:uid="{F47F9999-708B-4043-85F0-CF42BA2E4CA3}">
      <formula1>$A$1:$A$5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b X l a V T P Z G 8 u k A A A A 9 g A A A B I A H A B D b 2 5 m a W c v U G F j a 2 F n Z S 5 4 b W w g o h g A K K A U A A A A A A A A A A A A A A A A A A A A A A A A A A A A h Y + x D o I w G I R f h X S n L W V R 8 l M G V z A m J s a 1 K R U b 4 c d A s b y b g 4 / k K 4 h R 1 M 3 x 7 r 5 L 7 u 7 X G 2 R j U w c X 0 / W 2 x Z R E l J P A o G 5 L i 1 V K B n c I F y S T s F H 6 p C o T T D D 2 y d j b l B y d O y e M e e + p j 2 n b V U x w H r F 9 k W / 1 0 T Q q t N g 7 h d q Q T 6 v 8 3 y I S d q 8 x U t C I L 2 n M B e X A Z h M K i 1 9 A T H u f 6 Y 8 J q 6 F 2 Q 2 c k 1 u E 6 B z Z L Y O 8 P 8 g F Q S w M E F A A C A A g A b X l a 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1 5 W l U o i k e 4 D g A A A B E A A A A T A B w A R m 9 y b X V s Y X M v U 2 V j d G l v b j E u b S C i G A A o o B Q A A A A A A A A A A A A A A A A A A A A A A A A A A A A r T k 0 u y c z P U w i G 0 I b W A F B L A Q I t A B Q A A g A I A G 1 5 W l U z 2 R v L p A A A A P Y A A A A S A A A A A A A A A A A A A A A A A A A A A A B D b 2 5 m a W c v U G F j a 2 F n Z S 5 4 b W x Q S w E C L Q A U A A I A C A B t e V p V D 8 r p q 6 Q A A A D p A A A A E w A A A A A A A A A A A A A A A A D w A A A A W 0 N v b n R l b n R f V H l w Z X N d L n h t b F B L A Q I t A B Q A A g A I A G 1 5 W l 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p O k k b Z T L T T I s s 3 r W a h c n n A A A A A A I A A A A A A B B m A A A A A Q A A I A A A A B j k J y a / c m k 6 F y g / P Y 2 V Y X A i 8 U 3 5 V d W t l Q g + l p u q q N v O A A A A A A 6 A A A A A A g A A I A A A A F 5 w s w W B 4 I J j R v Q A u 8 7 Q O t V u f 2 M F L G D R o W G W F G s u K H J j U A A A A D 1 / a 8 f M 4 d z p n S e N X V m H M n Z R 3 G U 5 j p l X m 2 H 8 s Z v q j L q 9 D 1 3 m c 3 j P X e t w K 1 f J i p m n Y F H f A c j y 7 k 5 K 8 L / J V c 8 p k 1 w R V S j y U M E Z V h L D E f s h 2 f i 2 Q A A A A C B V h q 4 s H E 5 U L f + F 1 N 8 u 7 D 3 h 3 W 1 C 6 T U q 5 v c 6 r x L s 1 H 1 C i W W q W F S 5 N o 7 A V F j G L p A Z W T 2 M d 2 M 5 J 4 0 m z B T 1 V F q 6 + f s = < / D a t a M a s h u p > 
</file>

<file path=customXml/itemProps1.xml><?xml version="1.0" encoding="utf-8"?>
<ds:datastoreItem xmlns:ds="http://schemas.openxmlformats.org/officeDocument/2006/customXml" ds:itemID="{E326C75B-7C9A-438B-9AEF-B2C20752C59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3</vt:i4>
      </vt:variant>
    </vt:vector>
  </HeadingPairs>
  <TitlesOfParts>
    <vt:vector size="12" baseType="lpstr">
      <vt:lpstr>Mijn Huis</vt:lpstr>
      <vt:lpstr>Colofon</vt:lpstr>
      <vt:lpstr>Regulier Onderhoud</vt:lpstr>
      <vt:lpstr>Blad2</vt:lpstr>
      <vt:lpstr>Uitleg Banne rekentool</vt:lpstr>
      <vt:lpstr>Banne-Rekentool</vt:lpstr>
      <vt:lpstr>PV panelen</vt:lpstr>
      <vt:lpstr>Blad1</vt:lpstr>
      <vt:lpstr>CEL selectors</vt:lpstr>
      <vt:lpstr>'Uitleg Banne rekentool'!_Toc150895833</vt:lpstr>
      <vt:lpstr>'Banne-Rekentool'!Afdrukbereik</vt:lpstr>
      <vt:lpstr>'Regulier Onderhoud'!Afdrukbereik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oRb</dc:creator>
  <cp:lastModifiedBy>Rob van Houten</cp:lastModifiedBy>
  <cp:lastPrinted>2023-11-14T19:14:40Z</cp:lastPrinted>
  <dcterms:created xsi:type="dcterms:W3CDTF">2021-03-12T10:26:40Z</dcterms:created>
  <dcterms:modified xsi:type="dcterms:W3CDTF">2024-01-23T12:05:19Z</dcterms:modified>
</cp:coreProperties>
</file>